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Default Extension="emf" ContentType="image/x-emf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 codeName="{7A2D7E96-6E34-419A-AE5F-296B3A7E7977}"/>
  <workbookPr codeName="ThisWorkbook"/>
  <mc:AlternateContent xmlns:mc="http://schemas.openxmlformats.org/markup-compatibility/2006">
    <mc:Choice Requires="x15">
      <x15ac:absPath xmlns:x15ac="http://schemas.microsoft.com/office/spreadsheetml/2010/11/ac" url="/Users/nikitaudhwani/Desktop/"/>
    </mc:Choice>
  </mc:AlternateContent>
  <bookViews>
    <workbookView xWindow="120" yWindow="460" windowWidth="25480" windowHeight="15440" tabRatio="799"/>
  </bookViews>
  <sheets>
    <sheet name="Weight &amp; Volume Calculator" sheetId="5" r:id="rId1"/>
  </sheets>
  <definedNames>
    <definedName name="AvgCapacity" localSheetId="0">'Weight &amp; Volume Calculator'!$G$51</definedName>
    <definedName name="AvgCapacity">#REF!</definedName>
    <definedName name="AvgCapacityM3" localSheetId="0">'Weight &amp; Volume Calculator'!$H$51</definedName>
    <definedName name="AvgCapacityM3">#REF!</definedName>
    <definedName name="AvgCapacityMT" localSheetId="0">'Weight &amp; Volume Calculator'!$G$51</definedName>
    <definedName name="AvgCapacityMT">#REF!</definedName>
    <definedName name="Commodity">Table2[Commodity]</definedName>
    <definedName name="DeliveryTime" localSheetId="0">'Weight &amp; Volume Calculator'!$B$51</definedName>
    <definedName name="DeliveryTime">#REF!</definedName>
    <definedName name="ExcessCapacity" localSheetId="0">'Weight &amp; Volume Calculator'!$D$51</definedName>
    <definedName name="ExcessCapacity">#REF!</definedName>
    <definedName name="ExcessCpacity" localSheetId="0">'Weight &amp; Volume Calculator'!$D$51</definedName>
    <definedName name="ExcessCpacity">#REF!</definedName>
    <definedName name="FoodUnits" localSheetId="0">'Weight &amp; Volume Calculator'!$J$23</definedName>
    <definedName name="FoodUnits">#REF!</definedName>
    <definedName name="FoodVolume" localSheetId="0">'Weight &amp; Volume Calculator'!$K$23</definedName>
    <definedName name="FoodVolume">#REF!</definedName>
    <definedName name="FoodWeight" localSheetId="0">'Weight &amp; Volume Calculator'!$I$23</definedName>
    <definedName name="FoodWeight">#REF!</definedName>
    <definedName name="FullLoadsVolume" localSheetId="0">'Weight &amp; Volume Calculator'!$J$51</definedName>
    <definedName name="FullLoadsVolume">#REF!</definedName>
    <definedName name="FullLoadsWeight" localSheetId="0">'Weight &amp; Volume Calculator'!$I$51</definedName>
    <definedName name="FullLoadsWeight">#REF!</definedName>
    <definedName name="NFIUnits" localSheetId="0">'Weight &amp; Volume Calculator'!$J$44</definedName>
    <definedName name="NFIUnits">#REF!</definedName>
    <definedName name="NFIVolume" localSheetId="0">'Weight &amp; Volume Calculator'!$K$44</definedName>
    <definedName name="NFIVolume">#REF!</definedName>
    <definedName name="NFIWeight" localSheetId="0">'Weight &amp; Volume Calculator'!$I$44</definedName>
    <definedName name="NFIWeight">#REF!</definedName>
    <definedName name="Package">Table2[Package]</definedName>
    <definedName name="Possibletrips" localSheetId="0">'Weight &amp; Volume Calculator'!$E$51</definedName>
    <definedName name="Possibletrips">#REF!</definedName>
    <definedName name="_xlnm.Print_Area" localSheetId="0">'Weight &amp; Volume Calculator'!$A$1:$L$54</definedName>
    <definedName name="ReqAssets" localSheetId="0">'Weight &amp; Volume Calculator'!$K$51</definedName>
    <definedName name="ReqAssets">#REF!</definedName>
    <definedName name="RoundTripTime" localSheetId="0">'Weight &amp; Volume Calculator'!$C$51</definedName>
    <definedName name="RoundTripTime">#REF!</definedName>
    <definedName name="TotalKG" localSheetId="0">'Weight &amp; Volume Calculator'!$I$47</definedName>
    <definedName name="TotalKG">#REF!</definedName>
    <definedName name="TotalMT" localSheetId="0">'Weight &amp; Volume Calculator'!$J$47</definedName>
    <definedName name="TotalMT">#REF!</definedName>
    <definedName name="TotalVolume" localSheetId="0">'Weight &amp; Volume Calculator'!$K$47</definedName>
    <definedName name="TotalVolume">#REF!</definedName>
  </definedName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8" i="5" l="1"/>
  <c r="J38" i="5"/>
  <c r="I38" i="5"/>
  <c r="K37" i="5"/>
  <c r="J37" i="5"/>
  <c r="I37" i="5"/>
  <c r="K35" i="5"/>
  <c r="J35" i="5"/>
  <c r="I35" i="5"/>
  <c r="K34" i="5"/>
  <c r="J34" i="5"/>
  <c r="I34" i="5"/>
  <c r="K33" i="5"/>
  <c r="J33" i="5"/>
  <c r="I33" i="5"/>
  <c r="K32" i="5"/>
  <c r="J32" i="5"/>
  <c r="I32" i="5"/>
  <c r="K31" i="5"/>
  <c r="J31" i="5"/>
  <c r="I31" i="5"/>
  <c r="E81" i="5"/>
  <c r="D81" i="5"/>
  <c r="G16" i="5"/>
  <c r="E80" i="5"/>
  <c r="D80" i="5"/>
  <c r="F14" i="5"/>
  <c r="F15" i="5"/>
  <c r="G15" i="5"/>
  <c r="F16" i="5"/>
  <c r="F17" i="5"/>
  <c r="F18" i="5"/>
  <c r="G18" i="5"/>
  <c r="F19" i="5"/>
  <c r="G19" i="5"/>
  <c r="G14" i="5"/>
  <c r="J28" i="5"/>
  <c r="I28" i="5"/>
  <c r="K19" i="5"/>
  <c r="J20" i="5"/>
  <c r="K20" i="5"/>
  <c r="J22" i="5"/>
  <c r="K22" i="5"/>
  <c r="J36" i="5"/>
  <c r="I36" i="5"/>
  <c r="I40" i="5"/>
  <c r="J40" i="5"/>
  <c r="K40" i="5"/>
  <c r="I41" i="5"/>
  <c r="J41" i="5"/>
  <c r="K41" i="5"/>
  <c r="I42" i="5"/>
  <c r="J42" i="5"/>
  <c r="K42" i="5"/>
  <c r="I43" i="5"/>
  <c r="J43" i="5"/>
  <c r="K43" i="5"/>
  <c r="E51" i="5"/>
  <c r="D74" i="5"/>
  <c r="G17" i="5"/>
  <c r="D79" i="5"/>
  <c r="E79" i="5"/>
  <c r="D82" i="5"/>
  <c r="E82" i="5"/>
  <c r="J29" i="5"/>
  <c r="I29" i="5"/>
  <c r="I8" i="5"/>
  <c r="J27" i="5"/>
  <c r="I27" i="5"/>
  <c r="J30" i="5"/>
  <c r="I30" i="5"/>
  <c r="J39" i="5"/>
  <c r="K39" i="5"/>
  <c r="K36" i="5"/>
  <c r="K28" i="5"/>
  <c r="M7" i="5"/>
  <c r="I22" i="5"/>
  <c r="I15" i="5"/>
  <c r="J15" i="5"/>
  <c r="I16" i="5"/>
  <c r="J16" i="5"/>
  <c r="K16" i="5"/>
  <c r="I20" i="5"/>
  <c r="I17" i="5"/>
  <c r="J17" i="5"/>
  <c r="I21" i="5"/>
  <c r="I18" i="5"/>
  <c r="I19" i="5"/>
  <c r="I14" i="5"/>
  <c r="J21" i="5"/>
  <c r="K21" i="5"/>
  <c r="J18" i="5"/>
  <c r="I39" i="5"/>
  <c r="I44" i="5"/>
  <c r="K27" i="5"/>
  <c r="J44" i="5"/>
  <c r="K29" i="5"/>
  <c r="K30" i="5"/>
  <c r="J19" i="5"/>
  <c r="I23" i="5"/>
  <c r="I47" i="5"/>
  <c r="J47" i="5"/>
  <c r="I51" i="5"/>
  <c r="J14" i="5"/>
  <c r="K14" i="5"/>
  <c r="K15" i="5"/>
  <c r="K17" i="5"/>
  <c r="K18" i="5"/>
  <c r="K44" i="5"/>
  <c r="J23" i="5"/>
  <c r="K23" i="5"/>
  <c r="K47" i="5"/>
  <c r="J51" i="5"/>
  <c r="K51" i="5"/>
</calcChain>
</file>

<file path=xl/sharedStrings.xml><?xml version="1.0" encoding="utf-8"?>
<sst xmlns="http://schemas.openxmlformats.org/spreadsheetml/2006/main" count="147" uniqueCount="108">
  <si>
    <t>Date:</t>
  </si>
  <si>
    <t>Country Program:</t>
  </si>
  <si>
    <t>COMMODITY WEIGHT, VOLUME AND TRANSPORT ASSET CALCULATOR</t>
  </si>
  <si>
    <t xml:space="preserve">  (A)</t>
  </si>
  <si>
    <t xml:space="preserve">  (B)</t>
  </si>
  <si>
    <t>Total estimated beneficiaries:</t>
  </si>
  <si>
    <t>(individual rations)</t>
  </si>
  <si>
    <t>Ration period coverage:</t>
  </si>
  <si>
    <t>days</t>
  </si>
  <si>
    <t xml:space="preserve">  (D)</t>
  </si>
  <si>
    <t>BULK FOOD COMMODITIES</t>
  </si>
  <si>
    <t>DESCRIPTION</t>
  </si>
  <si>
    <t>PACKAGING / UNIT MEASURE</t>
  </si>
  <si>
    <t>DAILY RATION
IN GRAMS
(G)</t>
  </si>
  <si>
    <t>Corn, grain (100 KG sacks)</t>
  </si>
  <si>
    <t>Sack</t>
  </si>
  <si>
    <t>Lentils (50 KG sacks)</t>
  </si>
  <si>
    <t>Bottle</t>
  </si>
  <si>
    <t>Salt, Iodized (25 KG sacks)</t>
  </si>
  <si>
    <t>Rice (100 KG sacks)</t>
  </si>
  <si>
    <t>BULK FOOD -- COLUMN TOTALS:</t>
  </si>
  <si>
    <t>Carton</t>
  </si>
  <si>
    <t>Each</t>
  </si>
  <si>
    <t>KITS AND UNITS -- COLUMN TOTALS:</t>
  </si>
  <si>
    <t>TOTAL COMMODITY WEIGHT AND VOLUME TO DELIVER TO SITE:</t>
  </si>
  <si>
    <t>TRANSPORT REQUIREMENTS</t>
  </si>
  <si>
    <t>DELIVERY TIME (DAYS)
(Q)</t>
  </si>
  <si>
    <t>ROUND TRIP TIME (HOURS)
(R)</t>
  </si>
  <si>
    <t>EXCESS CAPACITY
(S)</t>
  </si>
  <si>
    <t>POSSIBLE TRIPS PER 
TRANSPORT ASSET
(T = (Q  / (R / 24))</t>
  </si>
  <si>
    <t>AVG. TRANSPORT
CAPACITY (MT)
(U)</t>
  </si>
  <si>
    <t>AVG. TRANSPORT
CAPACITY (M3)
(V)</t>
  </si>
  <si>
    <t>No. OF FULL LOADS BY WEIGHT
(TOTAL MT / U)</t>
  </si>
  <si>
    <t>No. OF FULL LOADS BY VOLUME
(TOTAL M3 / V)</t>
  </si>
  <si>
    <t>NO. OF TRANSPORT ASSETS REQ'D</t>
  </si>
  <si>
    <t>PREPARED AND SUBMITTED BY</t>
  </si>
  <si>
    <t>REVIEWED AND APPROVED</t>
  </si>
  <si>
    <t>DATE</t>
  </si>
  <si>
    <t>Beans (100 KG sacks)</t>
  </si>
  <si>
    <t>Bale</t>
  </si>
  <si>
    <t>Beans (50 KG sacks)</t>
  </si>
  <si>
    <t>Barrel</t>
  </si>
  <si>
    <t>Bulgur - SFB (50 KG sacks)</t>
  </si>
  <si>
    <t>Box</t>
  </si>
  <si>
    <t>Can</t>
  </si>
  <si>
    <t>Corn, grain (50 KG sacks)</t>
  </si>
  <si>
    <t>KG</t>
  </si>
  <si>
    <t>Liter</t>
  </si>
  <si>
    <t>Meter</t>
  </si>
  <si>
    <t>MT</t>
  </si>
  <si>
    <t>Lentils (25 KG sacks)</t>
  </si>
  <si>
    <t>Roll</t>
  </si>
  <si>
    <t>Peas (100 KG sacks)</t>
  </si>
  <si>
    <t>Peas (50 KG sacks)</t>
  </si>
  <si>
    <t>Rice (50 KG sacks)</t>
  </si>
  <si>
    <t>Salt, Iodized (50 KG sacks)</t>
  </si>
  <si>
    <t>Sorghum (100 KG sacks)</t>
  </si>
  <si>
    <t>Sorghum (50 KG sacks)</t>
  </si>
  <si>
    <t>Wheat Soy Blend (WSB)</t>
  </si>
  <si>
    <t>Wheat Soy Milk (WSM)</t>
  </si>
  <si>
    <r>
      <t xml:space="preserve">UNIT VOLUME
(Cubic M)
</t>
    </r>
    <r>
      <rPr>
        <b/>
        <sz val="12"/>
        <rFont val="Arial Narrow"/>
        <family val="2"/>
      </rPr>
      <t>(F)</t>
    </r>
  </si>
  <si>
    <r>
      <t xml:space="preserve">TOTAL UNITS REQ'D
</t>
    </r>
    <r>
      <rPr>
        <b/>
        <sz val="12"/>
        <rFont val="Arial Narrow"/>
        <family val="2"/>
      </rPr>
      <t xml:space="preserve">(I = </t>
    </r>
    <r>
      <rPr>
        <b/>
        <sz val="11"/>
        <rFont val="Arial Narrow"/>
        <family val="2"/>
      </rPr>
      <t>H / E</t>
    </r>
    <r>
      <rPr>
        <b/>
        <sz val="12"/>
        <rFont val="Arial Narrow"/>
        <family val="2"/>
      </rPr>
      <t>)</t>
    </r>
  </si>
  <si>
    <r>
      <t xml:space="preserve">TOTAL VOLUME 
(Cubic M)
</t>
    </r>
    <r>
      <rPr>
        <b/>
        <sz val="12"/>
        <rFont val="Arial Narrow"/>
        <family val="2"/>
      </rPr>
      <t>(I * F</t>
    </r>
    <r>
      <rPr>
        <b/>
        <sz val="11"/>
        <rFont val="Arial Narrow"/>
        <family val="2"/>
      </rPr>
      <t>)</t>
    </r>
  </si>
  <si>
    <r>
      <t xml:space="preserve">UNIT WEIGHT
(KG)
</t>
    </r>
    <r>
      <rPr>
        <b/>
        <sz val="12"/>
        <rFont val="Arial Narrow"/>
        <family val="2"/>
      </rPr>
      <t>(e)</t>
    </r>
  </si>
  <si>
    <r>
      <t xml:space="preserve">UNIT VOLUME
(Cubic M)
</t>
    </r>
    <r>
      <rPr>
        <b/>
        <sz val="12"/>
        <rFont val="Arial Narrow"/>
        <family val="2"/>
      </rPr>
      <t>(f)</t>
    </r>
  </si>
  <si>
    <r>
      <t xml:space="preserve">UNITS PER HOUSEHOLD
</t>
    </r>
    <r>
      <rPr>
        <b/>
        <sz val="12"/>
        <rFont val="Arial Narrow"/>
        <family val="2"/>
      </rPr>
      <t>(g)</t>
    </r>
  </si>
  <si>
    <r>
      <t>TOTAL UNITS REQ'D
(</t>
    </r>
    <r>
      <rPr>
        <b/>
        <sz val="12"/>
        <rFont val="Arial Narrow"/>
        <family val="2"/>
      </rPr>
      <t>h</t>
    </r>
    <r>
      <rPr>
        <b/>
        <sz val="11"/>
        <rFont val="Arial Narrow"/>
        <family val="2"/>
      </rPr>
      <t xml:space="preserve"> =</t>
    </r>
    <r>
      <rPr>
        <b/>
        <sz val="10"/>
        <rFont val="Arial Narrow"/>
        <family val="2"/>
      </rPr>
      <t xml:space="preserve"> B * g</t>
    </r>
    <r>
      <rPr>
        <b/>
        <sz val="11"/>
        <rFont val="Arial Narrow"/>
        <family val="2"/>
      </rPr>
      <t>)</t>
    </r>
  </si>
  <si>
    <r>
      <t xml:space="preserve">TOTAL VOLUME 
(Cubic M)
</t>
    </r>
    <r>
      <rPr>
        <b/>
        <sz val="12"/>
        <rFont val="Arial Narrow"/>
        <family val="2"/>
      </rPr>
      <t>(f * h</t>
    </r>
    <r>
      <rPr>
        <b/>
        <sz val="11"/>
        <rFont val="Arial Narrow"/>
        <family val="2"/>
      </rPr>
      <t>)</t>
    </r>
  </si>
  <si>
    <t xml:space="preserve">Wheat Flour, bread </t>
  </si>
  <si>
    <t>Wheat Flour, AP</t>
  </si>
  <si>
    <t>UNIMIX</t>
  </si>
  <si>
    <t>CSMF</t>
  </si>
  <si>
    <t>CSM</t>
  </si>
  <si>
    <t>CSB</t>
  </si>
  <si>
    <t xml:space="preserve">Cornmeal - SF </t>
  </si>
  <si>
    <t xml:space="preserve">Cornmeal </t>
  </si>
  <si>
    <t>Bulgur Wheat</t>
  </si>
  <si>
    <t>TOTAL VOLUME
M3 of Commodities</t>
  </si>
  <si>
    <t>TOTAL MT
of Commodities</t>
  </si>
  <si>
    <t>TOTAL KG
of Commodities</t>
  </si>
  <si>
    <r>
      <t xml:space="preserve">TOTAL WEIGHT
(KG)
</t>
    </r>
    <r>
      <rPr>
        <b/>
        <sz val="12"/>
        <rFont val="Arial Narrow"/>
        <family val="2"/>
      </rPr>
      <t>(e * h)</t>
    </r>
  </si>
  <si>
    <r>
      <t xml:space="preserve">UNIT WEIGHT
(KG)
</t>
    </r>
    <r>
      <rPr>
        <b/>
        <sz val="12"/>
        <rFont val="Arial Narrow"/>
        <family val="2"/>
      </rPr>
      <t>(E)</t>
    </r>
  </si>
  <si>
    <t>(household rations)</t>
  </si>
  <si>
    <t>Number of households targeted:</t>
  </si>
  <si>
    <t>Est. avg. persons per household:</t>
  </si>
  <si>
    <t>NON-FOOD ITEMS: KITS AND / OR UNITS</t>
  </si>
  <si>
    <r>
      <t xml:space="preserve">  (C </t>
    </r>
    <r>
      <rPr>
        <b/>
        <sz val="12"/>
        <color rgb="FF002060"/>
        <rFont val="Arial Narrow"/>
        <family val="2"/>
      </rPr>
      <t>= B * A</t>
    </r>
    <r>
      <rPr>
        <b/>
        <sz val="14"/>
        <color rgb="FF002060"/>
        <rFont val="Arial Narrow"/>
        <family val="2"/>
      </rPr>
      <t>)</t>
    </r>
  </si>
  <si>
    <t>Tin</t>
  </si>
  <si>
    <t>Catholic Relief Services - USCCB</t>
  </si>
  <si>
    <r>
      <t>TOTAL RATION
WEIGHT (KG)
(</t>
    </r>
    <r>
      <rPr>
        <b/>
        <sz val="12"/>
        <rFont val="Arial Narrow"/>
        <family val="2"/>
      </rPr>
      <t>H =</t>
    </r>
    <r>
      <rPr>
        <b/>
        <sz val="11"/>
        <rFont val="Arial Narrow"/>
        <family val="2"/>
      </rPr>
      <t xml:space="preserve"> C * D * G / 1,000)</t>
    </r>
  </si>
  <si>
    <t>Drum</t>
  </si>
  <si>
    <t>Veg oil, 4L Tins</t>
  </si>
  <si>
    <t>Veg oil, 5L  Jugs</t>
  </si>
  <si>
    <t>Veg, 20L Drums</t>
  </si>
  <si>
    <t>Veg oil, 200 L Drums</t>
  </si>
  <si>
    <t>Carton of 6</t>
  </si>
  <si>
    <t>Carton of 4</t>
  </si>
  <si>
    <t>Column1</t>
  </si>
  <si>
    <t>Commodity</t>
  </si>
  <si>
    <t>Volume</t>
  </si>
  <si>
    <t>Weight</t>
  </si>
  <si>
    <t>Package</t>
  </si>
  <si>
    <t>Veg oil, 5L Jugs</t>
  </si>
  <si>
    <t>Whse / Field Office:</t>
  </si>
  <si>
    <t>Delivery Point:</t>
  </si>
  <si>
    <t>Blanket, 50% wool, 1.5m x 2m</t>
  </si>
  <si>
    <t>Plastic Sheet, 4m x 6m</t>
  </si>
  <si>
    <t>Kitchen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</si>
</sst>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&quot;$&quot;* #,##0.00_);_(&quot;$&quot;* \(#,##0.00\);_(&quot;$&quot;* &quot;-&quot;??_);_(@_)"/>
    <numFmt numFmtId="165" formatCode="#,##0.000"/>
    <numFmt numFmtId="166" formatCode="0.0"/>
    <numFmt numFmtId="167" formatCode="#,##0.0"/>
    <numFmt numFmtId="168" formatCode="[$-F800]dddd\,\ mmmm\ dd\,\ yyyy"/>
    <numFmt numFmtId="169" formatCode="#,##0.0_);\(#,##0.0\)"/>
    <numFmt numFmtId="170" formatCode="[$-409]dd\-mmm\-yy;@"/>
    <numFmt numFmtId="171" formatCode="0.00_);\(0.00\)"/>
    <numFmt numFmtId="172" formatCode="0.000_);\(0.000\)"/>
  </numFmts>
  <fonts count="26" x14ac:knownFonts="1">
    <font>
      <sz val="10"/>
      <name val="Arial"/>
    </font>
    <font>
      <b/>
      <sz val="10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name val="Arial Narrow"/>
    </font>
    <font>
      <b/>
      <sz val="20"/>
      <name val="Arial Narrow"/>
      <family val="2"/>
    </font>
    <font>
      <sz val="13"/>
      <name val="Arial Narrow"/>
    </font>
    <font>
      <b/>
      <sz val="14"/>
      <name val="Arial Narrow"/>
      <family val="2"/>
    </font>
    <font>
      <b/>
      <sz val="18"/>
      <color indexed="59"/>
      <name val="Arial Narrow"/>
      <family val="2"/>
    </font>
    <font>
      <sz val="13"/>
      <name val="Arial Narrow"/>
      <family val="2"/>
    </font>
    <font>
      <b/>
      <sz val="16"/>
      <color indexed="59"/>
      <name val="Arial Narrow"/>
      <family val="2"/>
    </font>
    <font>
      <b/>
      <sz val="18"/>
      <color indexed="22"/>
      <name val="Arial Narrow"/>
      <family val="2"/>
    </font>
    <font>
      <sz val="12"/>
      <color indexed="8"/>
      <name val="Arial Narrow"/>
      <family val="2"/>
    </font>
    <font>
      <b/>
      <sz val="16"/>
      <color theme="1" tint="4.9989318521683403E-2"/>
      <name val="Arial Narrow"/>
      <family val="2"/>
    </font>
    <font>
      <b/>
      <sz val="18"/>
      <color theme="1" tint="4.9989318521683403E-2"/>
      <name val="Arial Narrow"/>
      <family val="2"/>
    </font>
    <font>
      <b/>
      <sz val="16"/>
      <color theme="4" tint="-0.499984740745262"/>
      <name val="Arial Narrow"/>
      <family val="2"/>
    </font>
    <font>
      <b/>
      <sz val="16"/>
      <color theme="4" tint="0.79998168889431442"/>
      <name val="Arial Narrow"/>
      <family val="2"/>
    </font>
    <font>
      <b/>
      <sz val="16"/>
      <name val="Arial Narrow"/>
      <family val="2"/>
    </font>
    <font>
      <sz val="10"/>
      <name val="Arial"/>
      <family val="2"/>
    </font>
    <font>
      <b/>
      <sz val="12"/>
      <color rgb="FF002060"/>
      <name val="Arial Narrow"/>
      <family val="2"/>
    </font>
    <font>
      <sz val="11"/>
      <color rgb="FF002060"/>
      <name val="Arial Narrow"/>
      <family val="2"/>
    </font>
    <font>
      <b/>
      <sz val="14"/>
      <color rgb="FF002060"/>
      <name val="Arial Narrow"/>
      <family val="2"/>
    </font>
    <font>
      <b/>
      <sz val="11"/>
      <color theme="0"/>
      <name val="Arial Narrow"/>
      <family val="2"/>
    </font>
    <font>
      <b/>
      <sz val="14"/>
      <color theme="0"/>
      <name val="Arial Narrow"/>
      <family val="2"/>
    </font>
    <font>
      <b/>
      <sz val="16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59"/>
      </top>
      <bottom style="thick">
        <color indexed="59"/>
      </bottom>
      <diagonal/>
    </border>
    <border>
      <left style="thin">
        <color auto="1"/>
      </left>
      <right/>
      <top style="medium">
        <color indexed="59"/>
      </top>
      <bottom style="thick">
        <color indexed="59"/>
      </bottom>
      <diagonal/>
    </border>
    <border>
      <left style="medium">
        <color auto="1"/>
      </left>
      <right style="thin">
        <color auto="1"/>
      </right>
      <top style="medium">
        <color indexed="59"/>
      </top>
      <bottom style="thick">
        <color indexed="59"/>
      </bottom>
      <diagonal/>
    </border>
    <border>
      <left style="thin">
        <color auto="1"/>
      </left>
      <right style="thick">
        <color indexed="59"/>
      </right>
      <top style="medium">
        <color indexed="59"/>
      </top>
      <bottom style="thick">
        <color indexed="5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59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59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9"/>
      </left>
      <right style="thick">
        <color auto="1"/>
      </right>
      <top style="thick">
        <color auto="1"/>
      </top>
      <bottom style="medium">
        <color indexed="9"/>
      </bottom>
      <diagonal/>
    </border>
    <border>
      <left style="thin">
        <color indexed="9"/>
      </left>
      <right style="thick">
        <color auto="1"/>
      </right>
      <top style="medium">
        <color indexed="9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9"/>
      </left>
      <right style="thin">
        <color indexed="9"/>
      </right>
      <top style="thick">
        <color auto="1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ck">
        <color auto="1"/>
      </bottom>
      <diagonal/>
    </border>
    <border>
      <left/>
      <right style="thin">
        <color indexed="9"/>
      </right>
      <top style="thick">
        <color auto="1"/>
      </top>
      <bottom style="medium">
        <color indexed="9"/>
      </bottom>
      <diagonal/>
    </border>
    <border>
      <left/>
      <right style="thin">
        <color indexed="9"/>
      </right>
      <top style="medium">
        <color indexed="9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59"/>
      </left>
      <right/>
      <top style="thin">
        <color auto="1"/>
      </top>
      <bottom style="thin">
        <color auto="1"/>
      </bottom>
      <diagonal/>
    </border>
    <border>
      <left style="thick">
        <color indexed="5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59"/>
      </left>
      <right/>
      <top style="medium">
        <color indexed="59"/>
      </top>
      <bottom style="thick">
        <color indexed="59"/>
      </bottom>
      <diagonal/>
    </border>
    <border>
      <left/>
      <right/>
      <top style="medium">
        <color indexed="59"/>
      </top>
      <bottom style="thick">
        <color indexed="59"/>
      </bottom>
      <diagonal/>
    </border>
    <border>
      <left style="thick">
        <color indexed="59"/>
      </left>
      <right style="thin">
        <color auto="1"/>
      </right>
      <top style="thin">
        <color auto="1"/>
      </top>
      <bottom/>
      <diagonal/>
    </border>
    <border>
      <left style="thick">
        <color indexed="59"/>
      </left>
      <right style="thin">
        <color auto="1"/>
      </right>
      <top style="medium">
        <color indexed="59"/>
      </top>
      <bottom style="thick">
        <color indexed="59"/>
      </bottom>
      <diagonal/>
    </border>
    <border>
      <left style="thick">
        <color indexed="59"/>
      </left>
      <right/>
      <top style="thick">
        <color indexed="59"/>
      </top>
      <bottom style="medium">
        <color indexed="59"/>
      </bottom>
      <diagonal/>
    </border>
    <border>
      <left/>
      <right/>
      <top style="thick">
        <color indexed="59"/>
      </top>
      <bottom style="medium">
        <color indexed="59"/>
      </bottom>
      <diagonal/>
    </border>
    <border>
      <left/>
      <right style="thick">
        <color indexed="59"/>
      </right>
      <top style="thick">
        <color indexed="59"/>
      </top>
      <bottom style="medium">
        <color indexed="59"/>
      </bottom>
      <diagonal/>
    </border>
    <border>
      <left/>
      <right/>
      <top style="thin">
        <color auto="1"/>
      </top>
      <bottom/>
      <diagonal/>
    </border>
    <border>
      <left style="thin">
        <color theme="3" tint="-0.24994659260841701"/>
      </left>
      <right style="thick">
        <color theme="3" tint="-0.24994659260841701"/>
      </right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ck">
        <color theme="3" tint="-0.24994659260841701"/>
      </top>
      <bottom style="thick">
        <color theme="3" tint="-0.24994659260841701"/>
      </bottom>
      <diagonal/>
    </border>
    <border>
      <left style="thick">
        <color theme="3" tint="-0.24994659260841701"/>
      </left>
      <right style="thin">
        <color theme="3" tint="-0.24994659260841701"/>
      </right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auto="1"/>
      </left>
      <right style="thick">
        <color theme="1" tint="4.9989318521683403E-2"/>
      </right>
      <top style="medium">
        <color indexed="58"/>
      </top>
      <bottom style="thick">
        <color theme="1" tint="4.9989318521683403E-2"/>
      </bottom>
      <diagonal/>
    </border>
    <border>
      <left/>
      <right/>
      <top style="medium">
        <color indexed="58"/>
      </top>
      <bottom style="thick">
        <color theme="1" tint="4.9989318521683403E-2"/>
      </bottom>
      <diagonal/>
    </border>
    <border>
      <left style="medium">
        <color theme="1" tint="4.9989318521683403E-2"/>
      </left>
      <right style="thin">
        <color auto="1"/>
      </right>
      <top style="medium">
        <color indexed="58"/>
      </top>
      <bottom style="thick">
        <color theme="1" tint="4.9989318521683403E-2"/>
      </bottom>
      <diagonal/>
    </border>
    <border>
      <left style="thick">
        <color theme="1" tint="4.9989318521683403E-2"/>
      </left>
      <right/>
      <top style="medium">
        <color indexed="58"/>
      </top>
      <bottom style="thick">
        <color theme="1" tint="4.9989318521683403E-2"/>
      </bottom>
      <diagonal/>
    </border>
    <border>
      <left style="thin">
        <color auto="1"/>
      </left>
      <right style="thick">
        <color theme="1" tint="4.9989318521683403E-2"/>
      </right>
      <top/>
      <bottom style="thin">
        <color auto="1"/>
      </bottom>
      <diagonal/>
    </border>
    <border>
      <left style="medium">
        <color theme="1" tint="4.9989318521683403E-2"/>
      </left>
      <right style="thin">
        <color auto="1"/>
      </right>
      <top/>
      <bottom style="thin">
        <color auto="1"/>
      </bottom>
      <diagonal/>
    </border>
    <border>
      <left style="thick">
        <color theme="1" tint="4.9989318521683403E-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1" tint="4.9989318521683403E-2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58"/>
      </top>
      <bottom style="thick">
        <color theme="1" tint="4.9989318521683403E-2"/>
      </bottom>
      <diagonal/>
    </border>
    <border>
      <left style="thin">
        <color auto="1"/>
      </left>
      <right style="thin">
        <color auto="1"/>
      </right>
      <top style="medium">
        <color indexed="58"/>
      </top>
      <bottom style="thick">
        <color theme="1" tint="4.9989318521683403E-2"/>
      </bottom>
      <diagonal/>
    </border>
    <border>
      <left style="thick">
        <color theme="1" tint="4.9989318521683403E-2"/>
      </left>
      <right style="thin">
        <color auto="1"/>
      </right>
      <top style="medium">
        <color indexed="58"/>
      </top>
      <bottom style="thick">
        <color theme="1" tint="4.9989318521683403E-2"/>
      </bottom>
      <diagonal/>
    </border>
    <border>
      <left/>
      <right style="thick">
        <color theme="1" tint="4.9989318521683403E-2"/>
      </right>
      <top style="thick">
        <color theme="1" tint="4.9989318521683403E-2"/>
      </top>
      <bottom style="medium">
        <color indexed="58"/>
      </bottom>
      <diagonal/>
    </border>
    <border>
      <left/>
      <right/>
      <top style="thick">
        <color theme="1" tint="4.9989318521683403E-2"/>
      </top>
      <bottom style="medium">
        <color indexed="58"/>
      </bottom>
      <diagonal/>
    </border>
    <border>
      <left style="thick">
        <color theme="1" tint="4.9989318521683403E-2"/>
      </left>
      <right/>
      <top style="thick">
        <color theme="1" tint="4.9989318521683403E-2"/>
      </top>
      <bottom style="medium">
        <color indexed="58"/>
      </bottom>
      <diagonal/>
    </border>
    <border>
      <left style="thick">
        <color indexed="59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5" fillId="0" borderId="0"/>
    <xf numFmtId="0" fontId="19" fillId="0" borderId="0"/>
    <xf numFmtId="164" fontId="19" fillId="0" borderId="0" applyFont="0" applyFill="0" applyBorder="0" applyAlignment="0" applyProtection="0"/>
  </cellStyleXfs>
  <cellXfs count="137">
    <xf numFmtId="0" fontId="0" fillId="0" borderId="0" xfId="0"/>
    <xf numFmtId="0" fontId="5" fillId="0" borderId="0" xfId="1" applyProtection="1"/>
    <xf numFmtId="171" fontId="5" fillId="0" borderId="0" xfId="1" applyNumberFormat="1" applyAlignment="1" applyProtection="1">
      <alignment horizontal="left"/>
    </xf>
    <xf numFmtId="172" fontId="5" fillId="0" borderId="0" xfId="1" applyNumberFormat="1" applyAlignment="1" applyProtection="1">
      <alignment horizontal="left"/>
    </xf>
    <xf numFmtId="0" fontId="4" fillId="0" borderId="0" xfId="1" applyFont="1" applyBorder="1" applyProtection="1"/>
    <xf numFmtId="49" fontId="13" fillId="0" borderId="0" xfId="1" applyNumberFormat="1" applyFont="1" applyBorder="1" applyProtection="1"/>
    <xf numFmtId="0" fontId="5" fillId="0" borderId="0" xfId="1" applyAlignment="1" applyProtection="1">
      <alignment horizontal="left"/>
    </xf>
    <xf numFmtId="0" fontId="5" fillId="0" borderId="22" xfId="1" applyBorder="1" applyProtection="1"/>
    <xf numFmtId="0" fontId="5" fillId="0" borderId="21" xfId="1" applyBorder="1" applyProtection="1"/>
    <xf numFmtId="0" fontId="5" fillId="0" borderId="20" xfId="1" applyBorder="1" applyProtection="1"/>
    <xf numFmtId="0" fontId="5" fillId="0" borderId="4" xfId="1" applyBorder="1" applyProtection="1"/>
    <xf numFmtId="0" fontId="5" fillId="0" borderId="0" xfId="1" applyBorder="1" applyAlignment="1" applyProtection="1">
      <alignment horizontal="center"/>
    </xf>
    <xf numFmtId="0" fontId="5" fillId="0" borderId="3" xfId="1" applyBorder="1" applyProtection="1"/>
    <xf numFmtId="0" fontId="5" fillId="0" borderId="0" xfId="1" applyBorder="1" applyProtection="1"/>
    <xf numFmtId="166" fontId="8" fillId="0" borderId="44" xfId="1" applyNumberFormat="1" applyFont="1" applyBorder="1" applyAlignment="1" applyProtection="1">
      <alignment horizontal="center" vertical="center"/>
      <protection locked="0"/>
    </xf>
    <xf numFmtId="9" fontId="8" fillId="0" borderId="44" xfId="1" applyNumberFormat="1" applyFont="1" applyBorder="1" applyAlignment="1" applyProtection="1">
      <alignment horizontal="center" vertical="center"/>
      <protection locked="0"/>
    </xf>
    <xf numFmtId="0" fontId="8" fillId="0" borderId="44" xfId="1" applyFont="1" applyBorder="1" applyAlignment="1" applyProtection="1">
      <alignment horizontal="center" vertical="center"/>
      <protection locked="0"/>
    </xf>
    <xf numFmtId="0" fontId="8" fillId="0" borderId="45" xfId="1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 wrapText="1"/>
    </xf>
    <xf numFmtId="0" fontId="1" fillId="0" borderId="4" xfId="1" applyFont="1" applyBorder="1" applyAlignment="1" applyProtection="1">
      <alignment horizontal="center" wrapText="1"/>
    </xf>
    <xf numFmtId="0" fontId="1" fillId="0" borderId="3" xfId="1" applyFont="1" applyBorder="1" applyAlignment="1" applyProtection="1">
      <alignment horizontal="center" wrapText="1"/>
    </xf>
    <xf numFmtId="0" fontId="5" fillId="0" borderId="5" xfId="1" applyBorder="1" applyProtection="1"/>
    <xf numFmtId="3" fontId="14" fillId="5" borderId="47" xfId="1" applyNumberFormat="1" applyFont="1" applyFill="1" applyBorder="1" applyAlignment="1" applyProtection="1">
      <alignment horizontal="center" vertical="center" wrapText="1"/>
    </xf>
    <xf numFmtId="165" fontId="10" fillId="0" borderId="15" xfId="1" applyNumberFormat="1" applyFont="1" applyBorder="1" applyAlignment="1" applyProtection="1">
      <alignment horizontal="center" vertical="center" wrapText="1"/>
      <protection locked="0"/>
    </xf>
    <xf numFmtId="3" fontId="10" fillId="0" borderId="17" xfId="1" applyNumberFormat="1" applyFont="1" applyBorder="1" applyAlignment="1" applyProtection="1">
      <alignment horizontal="center" vertical="center" wrapText="1"/>
    </xf>
    <xf numFmtId="167" fontId="10" fillId="0" borderId="51" xfId="1" applyNumberFormat="1" applyFont="1" applyBorder="1" applyAlignment="1" applyProtection="1">
      <alignment horizontal="center" vertical="center" wrapText="1"/>
    </xf>
    <xf numFmtId="39" fontId="10" fillId="0" borderId="24" xfId="1" applyNumberFormat="1" applyFont="1" applyBorder="1" applyAlignment="1" applyProtection="1">
      <alignment horizontal="center" vertical="center" wrapText="1"/>
      <protection locked="0"/>
    </xf>
    <xf numFmtId="165" fontId="10" fillId="0" borderId="13" xfId="1" applyNumberFormat="1" applyFont="1" applyBorder="1" applyAlignment="1" applyProtection="1">
      <alignment horizontal="center" vertical="center" wrapText="1"/>
      <protection locked="0"/>
    </xf>
    <xf numFmtId="4" fontId="10" fillId="0" borderId="10" xfId="1" applyNumberFormat="1" applyFont="1" applyBorder="1" applyAlignment="1" applyProtection="1">
      <alignment horizontal="center" vertical="center" wrapText="1"/>
      <protection locked="0"/>
    </xf>
    <xf numFmtId="165" fontId="10" fillId="0" borderId="10" xfId="1" applyNumberFormat="1" applyFont="1" applyBorder="1" applyAlignment="1" applyProtection="1">
      <alignment horizontal="center" vertical="center" wrapText="1"/>
      <protection locked="0"/>
    </xf>
    <xf numFmtId="39" fontId="10" fillId="0" borderId="17" xfId="1" applyNumberFormat="1" applyFont="1" applyBorder="1" applyAlignment="1" applyProtection="1">
      <alignment horizontal="center" vertical="center" wrapText="1"/>
      <protection locked="0"/>
    </xf>
    <xf numFmtId="0" fontId="3" fillId="0" borderId="46" xfId="1" applyFont="1" applyBorder="1" applyAlignment="1" applyProtection="1">
      <alignment horizontal="center" vertical="center" wrapText="1"/>
    </xf>
    <xf numFmtId="0" fontId="3" fillId="0" borderId="54" xfId="1" applyFont="1" applyBorder="1" applyAlignment="1" applyProtection="1">
      <alignment horizontal="center" vertical="center" wrapText="1"/>
    </xf>
    <xf numFmtId="0" fontId="3" fillId="0" borderId="48" xfId="1" applyFont="1" applyBorder="1" applyAlignment="1" applyProtection="1">
      <alignment horizontal="center" vertical="center" wrapText="1"/>
    </xf>
    <xf numFmtId="0" fontId="3" fillId="0" borderId="55" xfId="1" applyFont="1" applyBorder="1" applyAlignment="1" applyProtection="1">
      <alignment horizontal="center" vertical="center" wrapText="1"/>
    </xf>
    <xf numFmtId="3" fontId="11" fillId="2" borderId="6" xfId="1" applyNumberFormat="1" applyFont="1" applyFill="1" applyBorder="1" applyAlignment="1" applyProtection="1">
      <alignment horizontal="center" vertical="center" wrapText="1"/>
    </xf>
    <xf numFmtId="3" fontId="10" fillId="0" borderId="14" xfId="1" applyNumberFormat="1" applyFont="1" applyBorder="1" applyAlignment="1" applyProtection="1">
      <alignment horizontal="center" vertical="center" wrapText="1"/>
    </xf>
    <xf numFmtId="4" fontId="10" fillId="0" borderId="15" xfId="1" applyNumberFormat="1" applyFont="1" applyBorder="1" applyAlignment="1" applyProtection="1">
      <alignment horizontal="center" vertical="center" wrapText="1"/>
      <protection locked="0"/>
    </xf>
    <xf numFmtId="3" fontId="10" fillId="0" borderId="10" xfId="1" applyNumberFormat="1" applyFont="1" applyBorder="1" applyAlignment="1" applyProtection="1">
      <alignment horizontal="center" vertical="center" wrapText="1"/>
    </xf>
    <xf numFmtId="167" fontId="10" fillId="0" borderId="11" xfId="1" applyNumberFormat="1" applyFont="1" applyBorder="1" applyAlignment="1" applyProtection="1">
      <alignment horizontal="center" vertical="center" wrapText="1"/>
    </xf>
    <xf numFmtId="4" fontId="10" fillId="0" borderId="13" xfId="1" applyNumberFormat="1" applyFont="1" applyBorder="1" applyAlignment="1" applyProtection="1">
      <alignment horizontal="center" vertical="center" wrapText="1"/>
      <protection locked="0"/>
    </xf>
    <xf numFmtId="165" fontId="10" fillId="0" borderId="10" xfId="1" applyNumberFormat="1" applyFont="1" applyBorder="1" applyAlignment="1" applyProtection="1">
      <alignment horizontal="center" vertical="center" wrapText="1"/>
    </xf>
    <xf numFmtId="4" fontId="10" fillId="0" borderId="10" xfId="1" applyNumberFormat="1" applyFont="1" applyBorder="1" applyAlignment="1" applyProtection="1">
      <alignment horizontal="center" vertical="center" wrapText="1"/>
    </xf>
    <xf numFmtId="0" fontId="5" fillId="0" borderId="0" xfId="1" applyAlignment="1" applyProtection="1">
      <alignment vertical="center" wrapText="1"/>
    </xf>
    <xf numFmtId="0" fontId="5" fillId="0" borderId="4" xfId="1" applyBorder="1" applyAlignment="1" applyProtection="1">
      <alignment vertical="center" wrapText="1"/>
    </xf>
    <xf numFmtId="0" fontId="3" fillId="0" borderId="9" xfId="1" applyFont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7" xfId="1" applyFont="1" applyBorder="1" applyAlignment="1" applyProtection="1">
      <alignment horizontal="center" vertical="center" wrapText="1"/>
    </xf>
    <xf numFmtId="0" fontId="5" fillId="0" borderId="3" xfId="1" applyBorder="1" applyAlignment="1" applyProtection="1">
      <alignment vertical="center" wrapText="1"/>
    </xf>
    <xf numFmtId="0" fontId="8" fillId="0" borderId="0" xfId="1" applyFont="1" applyBorder="1" applyAlignment="1" applyProtection="1">
      <alignment horizontal="center"/>
    </xf>
    <xf numFmtId="37" fontId="5" fillId="0" borderId="0" xfId="1" applyNumberFormat="1" applyProtection="1"/>
    <xf numFmtId="49" fontId="7" fillId="0" borderId="4" xfId="1" applyNumberFormat="1" applyFont="1" applyBorder="1" applyAlignment="1" applyProtection="1">
      <alignment horizontal="left"/>
      <protection locked="0"/>
    </xf>
    <xf numFmtId="0" fontId="5" fillId="0" borderId="2" xfId="1" applyBorder="1" applyProtection="1"/>
    <xf numFmtId="0" fontId="5" fillId="0" borderId="1" xfId="1" applyBorder="1" applyProtection="1"/>
    <xf numFmtId="0" fontId="21" fillId="7" borderId="0" xfId="1" applyFont="1" applyFill="1" applyBorder="1" applyAlignment="1" applyProtection="1">
      <alignment vertical="center"/>
    </xf>
    <xf numFmtId="168" fontId="22" fillId="7" borderId="0" xfId="1" applyNumberFormat="1" applyFont="1" applyFill="1" applyBorder="1" applyAlignment="1" applyProtection="1">
      <alignment horizontal="left" vertical="center"/>
    </xf>
    <xf numFmtId="168" fontId="20" fillId="7" borderId="0" xfId="1" applyNumberFormat="1" applyFont="1" applyFill="1" applyBorder="1" applyAlignment="1" applyProtection="1">
      <alignment horizontal="left" vertical="center"/>
    </xf>
    <xf numFmtId="0" fontId="20" fillId="7" borderId="0" xfId="1" applyFont="1" applyFill="1" applyBorder="1" applyAlignment="1" applyProtection="1">
      <alignment horizontal="left" vertical="center"/>
    </xf>
    <xf numFmtId="0" fontId="22" fillId="7" borderId="0" xfId="1" applyFont="1" applyFill="1" applyBorder="1" applyAlignment="1" applyProtection="1">
      <alignment horizontal="left" vertical="center"/>
    </xf>
    <xf numFmtId="37" fontId="17" fillId="6" borderId="26" xfId="1" applyNumberFormat="1" applyFont="1" applyFill="1" applyBorder="1" applyAlignment="1" applyProtection="1">
      <alignment horizontal="center" vertical="center"/>
    </xf>
    <xf numFmtId="0" fontId="23" fillId="4" borderId="28" xfId="1" applyFont="1" applyFill="1" applyBorder="1" applyAlignment="1" applyProtection="1">
      <alignment horizontal="center" vertical="center" wrapText="1"/>
    </xf>
    <xf numFmtId="0" fontId="23" fillId="4" borderId="18" xfId="1" applyFont="1" applyFill="1" applyBorder="1" applyAlignment="1" applyProtection="1">
      <alignment horizontal="center" vertical="center" wrapText="1"/>
    </xf>
    <xf numFmtId="0" fontId="5" fillId="0" borderId="0" xfId="1" applyBorder="1" applyAlignment="1" applyProtection="1">
      <alignment horizontal="center"/>
    </xf>
    <xf numFmtId="37" fontId="12" fillId="3" borderId="43" xfId="1" applyNumberFormat="1" applyFont="1" applyFill="1" applyBorder="1" applyAlignment="1" applyProtection="1">
      <alignment horizontal="center" vertical="center"/>
    </xf>
    <xf numFmtId="167" fontId="10" fillId="0" borderId="12" xfId="1" applyNumberFormat="1" applyFont="1" applyBorder="1" applyAlignment="1" applyProtection="1">
      <alignment horizontal="center" vertical="center" wrapText="1"/>
    </xf>
    <xf numFmtId="167" fontId="10" fillId="0" borderId="16" xfId="1" applyNumberFormat="1" applyFont="1" applyBorder="1" applyAlignment="1" applyProtection="1">
      <alignment horizontal="center" vertical="center" wrapText="1"/>
    </xf>
    <xf numFmtId="167" fontId="11" fillId="2" borderId="9" xfId="1" applyNumberFormat="1" applyFont="1" applyFill="1" applyBorder="1" applyAlignment="1" applyProtection="1">
      <alignment horizontal="center" vertical="center" wrapText="1"/>
    </xf>
    <xf numFmtId="3" fontId="25" fillId="4" borderId="29" xfId="1" applyNumberFormat="1" applyFont="1" applyFill="1" applyBorder="1" applyAlignment="1" applyProtection="1">
      <alignment horizontal="center" vertical="center"/>
    </xf>
    <xf numFmtId="167" fontId="10" fillId="0" borderId="50" xfId="1" applyNumberFormat="1" applyFont="1" applyBorder="1" applyAlignment="1" applyProtection="1">
      <alignment horizontal="center" vertical="center" wrapText="1"/>
    </xf>
    <xf numFmtId="167" fontId="14" fillId="5" borderId="46" xfId="1" applyNumberFormat="1" applyFont="1" applyFill="1" applyBorder="1" applyAlignment="1" applyProtection="1">
      <alignment horizontal="center" vertical="center" wrapText="1"/>
    </xf>
    <xf numFmtId="37" fontId="8" fillId="5" borderId="44" xfId="1" applyNumberFormat="1" applyFont="1" applyFill="1" applyBorder="1" applyAlignment="1" applyProtection="1">
      <alignment horizontal="center" vertical="center"/>
    </xf>
    <xf numFmtId="0" fontId="1" fillId="5" borderId="45" xfId="1" applyFont="1" applyFill="1" applyBorder="1" applyAlignment="1" applyProtection="1">
      <alignment horizontal="center" vertical="center" wrapText="1"/>
    </xf>
    <xf numFmtId="0" fontId="1" fillId="5" borderId="44" xfId="1" applyFont="1" applyFill="1" applyBorder="1" applyAlignment="1" applyProtection="1">
      <alignment horizontal="center" vertical="center" wrapText="1"/>
    </xf>
    <xf numFmtId="0" fontId="1" fillId="5" borderId="43" xfId="1" applyFont="1" applyFill="1" applyBorder="1" applyAlignment="1" applyProtection="1">
      <alignment horizontal="center" vertical="center" wrapText="1"/>
    </xf>
    <xf numFmtId="169" fontId="16" fillId="7" borderId="24" xfId="1" applyNumberFormat="1" applyFont="1" applyFill="1" applyBorder="1" applyAlignment="1" applyProtection="1">
      <alignment horizontal="center" vertical="center"/>
      <protection locked="0"/>
    </xf>
    <xf numFmtId="37" fontId="16" fillId="7" borderId="61" xfId="1" applyNumberFormat="1" applyFont="1" applyFill="1" applyBorder="1" applyAlignment="1" applyProtection="1">
      <alignment horizontal="center" vertical="center"/>
      <protection locked="0"/>
    </xf>
    <xf numFmtId="169" fontId="10" fillId="0" borderId="17" xfId="1" applyNumberFormat="1" applyFont="1" applyBorder="1" applyAlignment="1" applyProtection="1">
      <alignment horizontal="center" vertical="center" wrapText="1"/>
      <protection locked="0"/>
    </xf>
    <xf numFmtId="169" fontId="10" fillId="0" borderId="24" xfId="1" applyNumberFormat="1" applyFont="1" applyBorder="1" applyAlignment="1" applyProtection="1">
      <alignment horizontal="center" vertical="center" wrapText="1"/>
      <protection locked="0"/>
    </xf>
    <xf numFmtId="169" fontId="10" fillId="0" borderId="27" xfId="1" applyNumberFormat="1" applyFont="1" applyBorder="1" applyAlignment="1" applyProtection="1">
      <alignment horizontal="center" vertical="center" wrapText="1"/>
      <protection locked="0"/>
    </xf>
    <xf numFmtId="166" fontId="8" fillId="7" borderId="44" xfId="1" applyNumberFormat="1" applyFont="1" applyFill="1" applyBorder="1" applyAlignment="1" applyProtection="1">
      <alignment horizontal="center" vertical="center"/>
      <protection locked="0"/>
    </xf>
    <xf numFmtId="167" fontId="25" fillId="4" borderId="31" xfId="1" applyNumberFormat="1" applyFont="1" applyFill="1" applyBorder="1" applyAlignment="1" applyProtection="1">
      <alignment horizontal="center" vertical="center"/>
    </xf>
    <xf numFmtId="167" fontId="25" fillId="4" borderId="19" xfId="1" applyNumberFormat="1" applyFont="1" applyFill="1" applyBorder="1" applyAlignment="1" applyProtection="1">
      <alignment horizontal="center" vertical="center"/>
    </xf>
    <xf numFmtId="167" fontId="14" fillId="5" borderId="48" xfId="1" applyNumberFormat="1" applyFont="1" applyFill="1" applyBorder="1" applyAlignment="1" applyProtection="1">
      <alignment horizontal="center" vertical="center" wrapText="1"/>
    </xf>
    <xf numFmtId="167" fontId="11" fillId="2" borderId="8" xfId="1" applyNumberFormat="1" applyFont="1" applyFill="1" applyBorder="1" applyAlignment="1" applyProtection="1">
      <alignment horizontal="center" vertical="center" wrapText="1"/>
    </xf>
    <xf numFmtId="167" fontId="23" fillId="4" borderId="30" xfId="1" applyNumberFormat="1" applyFont="1" applyFill="1" applyBorder="1" applyAlignment="1" applyProtection="1">
      <alignment horizontal="center" vertical="center" wrapText="1"/>
    </xf>
    <xf numFmtId="0" fontId="1" fillId="5" borderId="44" xfId="1" applyFont="1" applyFill="1" applyBorder="1" applyAlignment="1" applyProtection="1">
      <alignment horizontal="center" vertical="center" wrapText="1"/>
    </xf>
    <xf numFmtId="1" fontId="8" fillId="5" borderId="44" xfId="1" applyNumberFormat="1" applyFont="1" applyFill="1" applyBorder="1" applyAlignment="1" applyProtection="1">
      <alignment horizontal="center" vertical="center"/>
    </xf>
    <xf numFmtId="0" fontId="12" fillId="3" borderId="45" xfId="1" applyFont="1" applyFill="1" applyBorder="1" applyAlignment="1" applyProtection="1">
      <alignment horizontal="center" vertical="center"/>
    </xf>
    <xf numFmtId="0" fontId="12" fillId="3" borderId="44" xfId="1" applyFont="1" applyFill="1" applyBorder="1" applyAlignment="1" applyProtection="1">
      <alignment horizontal="center" vertical="center"/>
    </xf>
    <xf numFmtId="0" fontId="12" fillId="3" borderId="43" xfId="1" applyFont="1" applyFill="1" applyBorder="1" applyAlignment="1" applyProtection="1">
      <alignment horizontal="center" vertical="center"/>
    </xf>
    <xf numFmtId="49" fontId="10" fillId="0" borderId="52" xfId="1" applyNumberFormat="1" applyFont="1" applyBorder="1" applyAlignment="1" applyProtection="1">
      <alignment horizontal="left" vertical="center" wrapText="1"/>
      <protection locked="0"/>
    </xf>
    <xf numFmtId="49" fontId="10" fillId="0" borderId="13" xfId="1" applyNumberFormat="1" applyFont="1" applyBorder="1" applyAlignment="1" applyProtection="1">
      <alignment horizontal="left" vertical="center" wrapText="1"/>
      <protection locked="0"/>
    </xf>
    <xf numFmtId="3" fontId="14" fillId="5" borderId="49" xfId="1" applyNumberFormat="1" applyFont="1" applyFill="1" applyBorder="1" applyAlignment="1" applyProtection="1">
      <alignment horizontal="left" vertical="center" wrapText="1"/>
    </xf>
    <xf numFmtId="3" fontId="14" fillId="5" borderId="47" xfId="1" applyNumberFormat="1" applyFont="1" applyFill="1" applyBorder="1" applyAlignment="1" applyProtection="1">
      <alignment horizontal="left" vertical="center" wrapText="1"/>
    </xf>
    <xf numFmtId="0" fontId="24" fillId="4" borderId="1" xfId="1" applyFont="1" applyFill="1" applyBorder="1" applyAlignment="1" applyProtection="1">
      <alignment vertical="center"/>
    </xf>
    <xf numFmtId="0" fontId="24" fillId="4" borderId="5" xfId="1" applyFont="1" applyFill="1" applyBorder="1" applyAlignment="1" applyProtection="1">
      <alignment vertical="center"/>
    </xf>
    <xf numFmtId="0" fontId="24" fillId="4" borderId="20" xfId="1" applyFont="1" applyFill="1" applyBorder="1" applyAlignment="1" applyProtection="1">
      <alignment vertical="center"/>
    </xf>
    <xf numFmtId="0" fontId="24" fillId="4" borderId="21" xfId="1" applyFont="1" applyFill="1" applyBorder="1" applyAlignment="1" applyProtection="1">
      <alignment vertical="center"/>
    </xf>
    <xf numFmtId="0" fontId="5" fillId="0" borderId="0" xfId="1" applyBorder="1" applyAlignment="1" applyProtection="1">
      <alignment horizontal="center"/>
    </xf>
    <xf numFmtId="0" fontId="5" fillId="0" borderId="42" xfId="1" applyBorder="1" applyAlignment="1" applyProtection="1">
      <alignment horizontal="center"/>
    </xf>
    <xf numFmtId="170" fontId="5" fillId="0" borderId="23" xfId="1" applyNumberFormat="1" applyBorder="1" applyAlignment="1" applyProtection="1">
      <alignment horizontal="center"/>
      <protection locked="0"/>
    </xf>
    <xf numFmtId="0" fontId="5" fillId="0" borderId="23" xfId="1" applyBorder="1" applyAlignment="1" applyProtection="1">
      <alignment horizontal="center"/>
      <protection locked="0"/>
    </xf>
    <xf numFmtId="0" fontId="5" fillId="0" borderId="23" xfId="1" applyBorder="1" applyProtection="1">
      <protection locked="0"/>
    </xf>
    <xf numFmtId="0" fontId="6" fillId="0" borderId="5" xfId="1" applyFont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/>
    </xf>
    <xf numFmtId="168" fontId="18" fillId="0" borderId="23" xfId="1" applyNumberFormat="1" applyFont="1" applyBorder="1" applyAlignment="1" applyProtection="1">
      <alignment horizontal="left"/>
      <protection locked="0"/>
    </xf>
    <xf numFmtId="49" fontId="18" fillId="0" borderId="23" xfId="1" applyNumberFormat="1" applyFont="1" applyBorder="1" applyAlignment="1" applyProtection="1">
      <alignment horizontal="left"/>
      <protection locked="0"/>
    </xf>
    <xf numFmtId="0" fontId="18" fillId="0" borderId="0" xfId="1" applyFont="1" applyBorder="1" applyAlignment="1" applyProtection="1">
      <alignment horizontal="right"/>
    </xf>
    <xf numFmtId="0" fontId="18" fillId="0" borderId="25" xfId="1" applyFont="1" applyBorder="1" applyAlignment="1" applyProtection="1">
      <alignment horizontal="left"/>
      <protection locked="0"/>
    </xf>
    <xf numFmtId="15" fontId="20" fillId="7" borderId="0" xfId="1" applyNumberFormat="1" applyFont="1" applyFill="1" applyBorder="1" applyAlignment="1" applyProtection="1">
      <alignment horizontal="right" vertical="center"/>
    </xf>
    <xf numFmtId="0" fontId="20" fillId="7" borderId="0" xfId="1" applyFont="1" applyFill="1" applyBorder="1" applyAlignment="1" applyProtection="1">
      <alignment horizontal="right" vertical="center"/>
    </xf>
    <xf numFmtId="37" fontId="16" fillId="7" borderId="62" xfId="1" applyNumberFormat="1" applyFont="1" applyFill="1" applyBorder="1" applyAlignment="1" applyProtection="1">
      <alignment horizontal="center" vertical="center"/>
      <protection locked="0"/>
    </xf>
    <xf numFmtId="37" fontId="16" fillId="7" borderId="17" xfId="1" applyNumberFormat="1" applyFont="1" applyFill="1" applyBorder="1" applyAlignment="1" applyProtection="1">
      <alignment horizontal="center" vertical="center"/>
      <protection locked="0"/>
    </xf>
    <xf numFmtId="0" fontId="20" fillId="7" borderId="0" xfId="1" applyFont="1" applyFill="1" applyBorder="1" applyAlignment="1" applyProtection="1">
      <alignment horizontal="left" vertical="center"/>
    </xf>
    <xf numFmtId="0" fontId="15" fillId="5" borderId="59" xfId="1" applyFont="1" applyFill="1" applyBorder="1" applyAlignment="1" applyProtection="1">
      <alignment horizontal="center" vertical="center"/>
    </xf>
    <xf numFmtId="0" fontId="15" fillId="5" borderId="58" xfId="1" applyFont="1" applyFill="1" applyBorder="1" applyAlignment="1" applyProtection="1">
      <alignment horizontal="center" vertical="center"/>
    </xf>
    <xf numFmtId="0" fontId="15" fillId="5" borderId="57" xfId="1" applyFont="1" applyFill="1" applyBorder="1" applyAlignment="1" applyProtection="1">
      <alignment horizontal="center" vertical="center"/>
    </xf>
    <xf numFmtId="49" fontId="10" fillId="0" borderId="34" xfId="1" applyNumberFormat="1" applyFont="1" applyBorder="1" applyAlignment="1" applyProtection="1">
      <alignment horizontal="left" vertical="center" wrapText="1"/>
      <protection locked="0"/>
    </xf>
    <xf numFmtId="3" fontId="11" fillId="2" borderId="35" xfId="1" applyNumberFormat="1" applyFont="1" applyFill="1" applyBorder="1" applyAlignment="1" applyProtection="1">
      <alignment horizontal="left" vertical="center" wrapText="1"/>
    </xf>
    <xf numFmtId="3" fontId="11" fillId="2" borderId="36" xfId="1" applyNumberFormat="1" applyFont="1" applyFill="1" applyBorder="1" applyAlignment="1" applyProtection="1">
      <alignment horizontal="left" vertical="center" wrapText="1"/>
    </xf>
    <xf numFmtId="49" fontId="10" fillId="0" borderId="37" xfId="1" applyNumberFormat="1" applyFont="1" applyBorder="1" applyAlignment="1" applyProtection="1">
      <alignment horizontal="left" vertical="center" wrapText="1"/>
      <protection locked="0"/>
    </xf>
    <xf numFmtId="49" fontId="10" fillId="0" borderId="15" xfId="1" applyNumberFormat="1" applyFont="1" applyBorder="1" applyAlignment="1" applyProtection="1">
      <alignment horizontal="left" vertical="center" wrapText="1"/>
      <protection locked="0"/>
    </xf>
    <xf numFmtId="0" fontId="3" fillId="0" borderId="56" xfId="1" applyFont="1" applyBorder="1" applyAlignment="1" applyProtection="1">
      <alignment horizontal="center" vertical="center" wrapText="1"/>
    </xf>
    <xf numFmtId="0" fontId="3" fillId="0" borderId="55" xfId="1" applyFont="1" applyBorder="1" applyAlignment="1" applyProtection="1">
      <alignment horizontal="center" vertical="center" wrapText="1"/>
    </xf>
    <xf numFmtId="49" fontId="10" fillId="0" borderId="53" xfId="1" applyNumberFormat="1" applyFont="1" applyBorder="1" applyAlignment="1" applyProtection="1">
      <alignment horizontal="left" vertical="center" wrapText="1"/>
      <protection locked="0"/>
    </xf>
    <xf numFmtId="49" fontId="10" fillId="0" borderId="10" xfId="1" applyNumberFormat="1" applyFont="1" applyBorder="1" applyAlignment="1" applyProtection="1">
      <alignment horizontal="left" vertical="center" wrapText="1"/>
      <protection locked="0"/>
    </xf>
    <xf numFmtId="49" fontId="10" fillId="0" borderId="33" xfId="1" applyNumberFormat="1" applyFont="1" applyBorder="1" applyAlignment="1" applyProtection="1">
      <alignment horizontal="left" vertical="center" wrapText="1"/>
      <protection locked="0"/>
    </xf>
    <xf numFmtId="49" fontId="10" fillId="0" borderId="25" xfId="1" applyNumberFormat="1" applyFont="1" applyBorder="1" applyAlignment="1" applyProtection="1">
      <alignment horizontal="left" vertical="center" wrapText="1"/>
      <protection locked="0"/>
    </xf>
    <xf numFmtId="49" fontId="10" fillId="0" borderId="32" xfId="1" applyNumberFormat="1" applyFont="1" applyBorder="1" applyAlignment="1" applyProtection="1">
      <alignment horizontal="left" vertical="center" wrapText="1"/>
      <protection locked="0"/>
    </xf>
    <xf numFmtId="0" fontId="3" fillId="0" borderId="38" xfId="1" applyFont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center" vertical="center" wrapText="1"/>
    </xf>
    <xf numFmtId="49" fontId="10" fillId="0" borderId="60" xfId="1" applyNumberFormat="1" applyFont="1" applyBorder="1" applyAlignment="1" applyProtection="1">
      <alignment horizontal="left" vertical="center" wrapText="1"/>
      <protection locked="0"/>
    </xf>
    <xf numFmtId="0" fontId="9" fillId="2" borderId="39" xfId="1" applyFont="1" applyFill="1" applyBorder="1" applyAlignment="1" applyProtection="1">
      <alignment horizontal="center" vertical="center"/>
    </xf>
    <xf numFmtId="0" fontId="9" fillId="2" borderId="40" xfId="1" applyFont="1" applyFill="1" applyBorder="1" applyAlignment="1" applyProtection="1">
      <alignment horizontal="center" vertical="center"/>
    </xf>
    <xf numFmtId="0" fontId="9" fillId="2" borderId="41" xfId="1" applyFont="1" applyFill="1" applyBorder="1" applyAlignment="1" applyProtection="1">
      <alignment horizontal="center" vertical="center"/>
    </xf>
    <xf numFmtId="0" fontId="22" fillId="7" borderId="0" xfId="1" applyFont="1" applyFill="1" applyBorder="1" applyAlignment="1" applyProtection="1">
      <alignment vertical="center"/>
    </xf>
  </cellXfs>
  <cellStyles count="4">
    <cellStyle name="Currency 2" xfId="3"/>
    <cellStyle name="Normal" xfId="0" builtinId="0"/>
    <cellStyle name="Normal 2" xfId="1"/>
    <cellStyle name="Normal 3" xfId="2"/>
  </cellStyles>
  <dxfs count="17">
    <dxf>
      <protection locked="1" hidden="0"/>
    </dxf>
    <dxf>
      <numFmt numFmtId="171" formatCode="0.00_);\(0.00\)"/>
      <alignment horizontal="left" vertical="bottom" textRotation="0" wrapText="0" indent="0" justifyLastLine="0" shrinkToFit="0" readingOrder="0"/>
      <protection locked="1" hidden="0"/>
    </dxf>
    <dxf>
      <numFmt numFmtId="172" formatCode="0.000_);\(0.000\)"/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30" formatCode="@"/>
      <protection locked="1" hidden="0"/>
    </dxf>
    <dxf>
      <protection locked="1" hidden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C0C0C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339966"/>
      <rgbColor rgb="00003300"/>
      <rgbColor rgb="00333300"/>
      <rgbColor rgb="00993300"/>
      <rgbColor rgb="00993366"/>
      <rgbColor rgb="00333399"/>
      <rgbColor rgb="00808080"/>
    </indexedColors>
    <mruColors>
      <color rgb="FF001642"/>
      <color rgb="FF323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microsoft.com/office/2006/relationships/vbaProject" Target="vbaProject.bin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4" Type="http://schemas.openxmlformats.org/officeDocument/2006/relationships/image" Target="../media/image4.emf"/><Relationship Id="rId5" Type="http://schemas.openxmlformats.org/officeDocument/2006/relationships/image" Target="../media/image5.emf"/><Relationship Id="rId1" Type="http://schemas.openxmlformats.org/officeDocument/2006/relationships/image" Target="../media/image1.emf"/><Relationship Id="rId2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405077</xdr:colOff>
      <xdr:row>4</xdr:row>
      <xdr:rowOff>100852</xdr:rowOff>
    </xdr:from>
    <xdr:to>
      <xdr:col>5</xdr:col>
      <xdr:colOff>874060</xdr:colOff>
      <xdr:row>10</xdr:row>
      <xdr:rowOff>67234</xdr:rowOff>
    </xdr:to>
    <xdr:sp macro="" textlink="" fLocksText="0">
      <xdr:nvSpPr>
        <xdr:cNvPr id="5" name="Rounded Rectangle 4"/>
        <xdr:cNvSpPr/>
      </xdr:nvSpPr>
      <xdr:spPr bwMode="auto">
        <a:xfrm>
          <a:off x="2534195" y="1355911"/>
          <a:ext cx="2441218" cy="1210235"/>
        </a:xfrm>
        <a:prstGeom prst="roundRect">
          <a:avLst/>
        </a:prstGeom>
        <a:solidFill>
          <a:srgbClr val="001642">
            <a:alpha val="75000"/>
          </a:srgbClr>
        </a:solidFill>
        <a:ln w="254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50000"/>
            </a:prstClr>
          </a:outerShdw>
        </a:effectLst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33615</xdr:colOff>
      <xdr:row>4</xdr:row>
      <xdr:rowOff>100852</xdr:rowOff>
    </xdr:from>
    <xdr:to>
      <xdr:col>3</xdr:col>
      <xdr:colOff>244842</xdr:colOff>
      <xdr:row>10</xdr:row>
      <xdr:rowOff>67234</xdr:rowOff>
    </xdr:to>
    <xdr:sp macro="" textlink="" fLocksText="0">
      <xdr:nvSpPr>
        <xdr:cNvPr id="6" name="Rounded Rectangle 5"/>
        <xdr:cNvSpPr/>
      </xdr:nvSpPr>
      <xdr:spPr bwMode="auto">
        <a:xfrm>
          <a:off x="190497" y="1355911"/>
          <a:ext cx="2183463" cy="1210235"/>
        </a:xfrm>
        <a:prstGeom prst="roundRect">
          <a:avLst/>
        </a:prstGeom>
        <a:solidFill>
          <a:srgbClr val="323E1A"/>
        </a:solidFill>
        <a:ln w="254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50000"/>
            </a:prstClr>
          </a:outerShdw>
        </a:effectLst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520700</xdr:colOff>
          <xdr:row>7</xdr:row>
          <xdr:rowOff>63500</xdr:rowOff>
        </xdr:from>
        <xdr:to>
          <xdr:col>5</xdr:col>
          <xdr:colOff>749300</xdr:colOff>
          <xdr:row>8</xdr:row>
          <xdr:rowOff>101600</xdr:rowOff>
        </xdr:to>
        <xdr:sp macro="" textlink="">
          <xdr:nvSpPr>
            <xdr:cNvPr id="4097" name="OptionButton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blurRad="63500" dist="38099" dir="2700000" algn="ctr" rotWithShape="0">
                <a:srgbClr val="000000">
                  <a:alpha val="74998"/>
                </a:srgbClr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520700</xdr:colOff>
          <xdr:row>5</xdr:row>
          <xdr:rowOff>177800</xdr:rowOff>
        </xdr:from>
        <xdr:to>
          <xdr:col>5</xdr:col>
          <xdr:colOff>749300</xdr:colOff>
          <xdr:row>6</xdr:row>
          <xdr:rowOff>215900</xdr:rowOff>
        </xdr:to>
        <xdr:sp macro="" textlink="">
          <xdr:nvSpPr>
            <xdr:cNvPr id="4098" name="OptionButton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blurRad="63500" dist="38099" dir="2700000" algn="ctr" rotWithShape="0">
                <a:srgbClr val="000000">
                  <a:alpha val="74998"/>
                </a:srgbClr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</xdr:row>
          <xdr:rowOff>63500</xdr:rowOff>
        </xdr:from>
        <xdr:to>
          <xdr:col>3</xdr:col>
          <xdr:colOff>139700</xdr:colOff>
          <xdr:row>6</xdr:row>
          <xdr:rowOff>101600</xdr:rowOff>
        </xdr:to>
        <xdr:sp macro="" textlink="">
          <xdr:nvSpPr>
            <xdr:cNvPr id="4099" name="OptionButton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blurRad="63500" dist="38099" dir="2700000" algn="ctr" rotWithShape="0">
                <a:srgbClr val="000000">
                  <a:alpha val="74998"/>
                </a:srgbClr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</xdr:row>
          <xdr:rowOff>139700</xdr:rowOff>
        </xdr:from>
        <xdr:to>
          <xdr:col>3</xdr:col>
          <xdr:colOff>139700</xdr:colOff>
          <xdr:row>7</xdr:row>
          <xdr:rowOff>165100</xdr:rowOff>
        </xdr:to>
        <xdr:sp macro="" textlink="">
          <xdr:nvSpPr>
            <xdr:cNvPr id="4100" name="OptionButton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blurRad="63500" dist="38099" dir="2700000" algn="ctr" rotWithShape="0">
                <a:srgbClr val="000000">
                  <a:alpha val="74998"/>
                </a:srgbClr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7</xdr:row>
          <xdr:rowOff>203200</xdr:rowOff>
        </xdr:from>
        <xdr:to>
          <xdr:col>3</xdr:col>
          <xdr:colOff>139700</xdr:colOff>
          <xdr:row>9</xdr:row>
          <xdr:rowOff>38100</xdr:rowOff>
        </xdr:to>
        <xdr:sp macro="" textlink="">
          <xdr:nvSpPr>
            <xdr:cNvPr id="4101" name="OptionButton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blurRad="63500" dist="38099" dir="2700000" algn="ctr" rotWithShape="0">
                <a:srgbClr val="000000">
                  <a:alpha val="74998"/>
                </a:srgbClr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88900</xdr:colOff>
      <xdr:row>4</xdr:row>
      <xdr:rowOff>63500</xdr:rowOff>
    </xdr:from>
    <xdr:to>
      <xdr:col>10</xdr:col>
      <xdr:colOff>1117600</xdr:colOff>
      <xdr:row>10</xdr:row>
      <xdr:rowOff>63500</xdr:rowOff>
    </xdr:to>
    <xdr:sp macro="" textlink="">
      <xdr:nvSpPr>
        <xdr:cNvPr id="2" name="Rounded Rectangle 1"/>
        <xdr:cNvSpPr/>
      </xdr:nvSpPr>
      <xdr:spPr bwMode="auto">
        <a:xfrm>
          <a:off x="5143500" y="1333500"/>
          <a:ext cx="5600700" cy="1244600"/>
        </a:xfrm>
        <a:prstGeom prst="roundRect">
          <a:avLst/>
        </a:prstGeom>
        <a:noFill/>
        <a:ln w="31750" cap="flat" cmpd="sng" algn="ctr">
          <a:solidFill>
            <a:srgbClr val="00206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B56:F86" totalsRowShown="0" headerRowDxfId="5" headerRowCellStyle="Normal 2">
  <autoFilter ref="B56:F86"/>
  <tableColumns count="5">
    <tableColumn id="1" name="Commodity" dataDxfId="4" dataCellStyle="Normal 2"/>
    <tableColumn id="2" name="Column1" dataDxfId="3" dataCellStyle="Normal 2"/>
    <tableColumn id="3" name="Volume" dataDxfId="2" dataCellStyle="Normal 2"/>
    <tableColumn id="4" name="Weight" dataDxfId="1" dataCellStyle="Normal 2"/>
    <tableColumn id="5" name="Package" dataDxfId="0" dataCellStyle="Normal 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M86"/>
  <sheetViews>
    <sheetView showGridLines="0" showZeros="0" tabSelected="1" showOutlineSymbols="0" view="pageBreakPreview" zoomScale="75" zoomScaleSheetLayoutView="75" workbookViewId="0">
      <selection activeCell="F20" sqref="F20"/>
    </sheetView>
  </sheetViews>
  <sheetFormatPr baseColWidth="10" defaultColWidth="8.83203125" defaultRowHeight="14" x14ac:dyDescent="0.15"/>
  <cols>
    <col min="1" max="1" width="2.5" style="1" customWidth="1"/>
    <col min="2" max="6" width="14.6640625" style="1" customWidth="1"/>
    <col min="7" max="8" width="16.5" style="1" customWidth="1"/>
    <col min="9" max="9" width="17.1640625" style="1" customWidth="1"/>
    <col min="10" max="10" width="18.33203125" style="1" customWidth="1"/>
    <col min="11" max="11" width="18.83203125" style="1" customWidth="1"/>
    <col min="12" max="12" width="2.33203125" style="1" customWidth="1"/>
    <col min="13" max="13" width="9.1640625" style="1" hidden="1" customWidth="1"/>
    <col min="14" max="16384" width="8.83203125" style="1"/>
  </cols>
  <sheetData>
    <row r="1" spans="1:13" ht="30.75" customHeight="1" thickTop="1" x14ac:dyDescent="0.15">
      <c r="A1" s="54"/>
      <c r="B1" s="104" t="s">
        <v>88</v>
      </c>
      <c r="C1" s="104"/>
      <c r="D1" s="104"/>
      <c r="E1" s="104"/>
      <c r="F1" s="104"/>
      <c r="G1" s="104"/>
      <c r="H1" s="104"/>
      <c r="I1" s="104"/>
      <c r="J1" s="104"/>
      <c r="K1" s="104"/>
      <c r="L1" s="53"/>
    </row>
    <row r="2" spans="1:13" ht="18" x14ac:dyDescent="0.2">
      <c r="A2" s="12"/>
      <c r="B2" s="105" t="s">
        <v>2</v>
      </c>
      <c r="C2" s="105"/>
      <c r="D2" s="105"/>
      <c r="E2" s="105"/>
      <c r="F2" s="105"/>
      <c r="G2" s="105"/>
      <c r="H2" s="105"/>
      <c r="I2" s="105"/>
      <c r="J2" s="105"/>
      <c r="K2" s="105"/>
      <c r="L2" s="10"/>
    </row>
    <row r="3" spans="1:13" ht="24.75" customHeight="1" x14ac:dyDescent="0.2">
      <c r="A3" s="12"/>
      <c r="B3" s="108" t="s">
        <v>1</v>
      </c>
      <c r="C3" s="108"/>
      <c r="D3" s="107"/>
      <c r="E3" s="107"/>
      <c r="F3" s="107"/>
      <c r="G3" s="108" t="s">
        <v>0</v>
      </c>
      <c r="H3" s="108"/>
      <c r="I3" s="106"/>
      <c r="J3" s="106"/>
      <c r="K3" s="106"/>
      <c r="L3" s="10"/>
    </row>
    <row r="4" spans="1:13" ht="24.75" customHeight="1" x14ac:dyDescent="0.2">
      <c r="A4" s="12"/>
      <c r="B4" s="108" t="s">
        <v>103</v>
      </c>
      <c r="C4" s="108"/>
      <c r="D4" s="107"/>
      <c r="E4" s="107"/>
      <c r="F4" s="107"/>
      <c r="G4" s="108" t="s">
        <v>104</v>
      </c>
      <c r="H4" s="108"/>
      <c r="I4" s="109"/>
      <c r="J4" s="109"/>
      <c r="K4" s="109"/>
      <c r="L4" s="52"/>
    </row>
    <row r="5" spans="1:13" ht="11.25" customHeight="1" x14ac:dyDescent="0.2">
      <c r="A5" s="12"/>
      <c r="B5" s="105"/>
      <c r="C5" s="105"/>
      <c r="D5" s="105"/>
      <c r="E5" s="105"/>
      <c r="F5" s="105"/>
      <c r="G5" s="105"/>
      <c r="H5" s="105"/>
      <c r="I5" s="13"/>
      <c r="J5" s="13"/>
      <c r="K5" s="13"/>
      <c r="L5" s="10"/>
    </row>
    <row r="6" spans="1:13" ht="21.75" customHeight="1" x14ac:dyDescent="0.15">
      <c r="A6" s="12"/>
      <c r="B6" s="13"/>
      <c r="C6" s="13"/>
      <c r="D6" s="13"/>
      <c r="E6" s="13"/>
      <c r="F6" s="13"/>
      <c r="G6" s="110" t="s">
        <v>84</v>
      </c>
      <c r="H6" s="110"/>
      <c r="I6" s="75">
        <v>5.6</v>
      </c>
      <c r="J6" s="55"/>
      <c r="K6" s="56" t="s">
        <v>3</v>
      </c>
      <c r="L6" s="10"/>
    </row>
    <row r="7" spans="1:13" ht="21.75" customHeight="1" thickBot="1" x14ac:dyDescent="0.2">
      <c r="A7" s="12"/>
      <c r="B7" s="13"/>
      <c r="C7" s="13"/>
      <c r="D7" s="13"/>
      <c r="E7" s="13"/>
      <c r="F7" s="13"/>
      <c r="G7" s="110" t="s">
        <v>83</v>
      </c>
      <c r="H7" s="110"/>
      <c r="I7" s="76">
        <v>1000</v>
      </c>
      <c r="J7" s="57" t="s">
        <v>82</v>
      </c>
      <c r="K7" s="56" t="s">
        <v>4</v>
      </c>
      <c r="L7" s="10"/>
      <c r="M7" s="51">
        <f>I8</f>
        <v>5600</v>
      </c>
    </row>
    <row r="8" spans="1:13" ht="21.75" customHeight="1" thickTop="1" thickBot="1" x14ac:dyDescent="0.2">
      <c r="A8" s="12"/>
      <c r="B8" s="13"/>
      <c r="C8" s="13"/>
      <c r="D8" s="13"/>
      <c r="E8" s="13"/>
      <c r="F8" s="13"/>
      <c r="G8" s="111" t="s">
        <v>5</v>
      </c>
      <c r="H8" s="111"/>
      <c r="I8" s="60">
        <f>ROUNDUP(I6*I7,0)</f>
        <v>5600</v>
      </c>
      <c r="J8" s="58" t="s">
        <v>6</v>
      </c>
      <c r="K8" s="59" t="s">
        <v>86</v>
      </c>
      <c r="L8" s="10"/>
    </row>
    <row r="9" spans="1:13" ht="16.5" customHeight="1" x14ac:dyDescent="0.15">
      <c r="A9" s="12"/>
      <c r="B9" s="13"/>
      <c r="C9" s="13"/>
      <c r="D9" s="13"/>
      <c r="E9" s="13"/>
      <c r="F9" s="13"/>
      <c r="G9" s="111" t="s">
        <v>7</v>
      </c>
      <c r="H9" s="111"/>
      <c r="I9" s="112">
        <v>30</v>
      </c>
      <c r="J9" s="114" t="s">
        <v>8</v>
      </c>
      <c r="K9" s="136" t="s">
        <v>9</v>
      </c>
      <c r="L9" s="10"/>
    </row>
    <row r="10" spans="1:13" ht="3.75" customHeight="1" x14ac:dyDescent="0.2">
      <c r="A10" s="12"/>
      <c r="B10" s="50"/>
      <c r="C10" s="50"/>
      <c r="D10" s="50"/>
      <c r="E10" s="50"/>
      <c r="F10" s="50"/>
      <c r="G10" s="111"/>
      <c r="H10" s="111"/>
      <c r="I10" s="113"/>
      <c r="J10" s="114"/>
      <c r="K10" s="136"/>
      <c r="L10" s="10"/>
    </row>
    <row r="11" spans="1:13" ht="15" customHeight="1" thickBot="1" x14ac:dyDescent="0.25">
      <c r="A11" s="12"/>
      <c r="B11" s="105"/>
      <c r="C11" s="105"/>
      <c r="D11" s="105"/>
      <c r="E11" s="105"/>
      <c r="F11" s="105"/>
      <c r="G11" s="105"/>
      <c r="H11" s="105"/>
      <c r="I11" s="13"/>
      <c r="J11" s="13"/>
      <c r="K11" s="13"/>
      <c r="L11" s="10"/>
    </row>
    <row r="12" spans="1:13" ht="25.5" customHeight="1" thickTop="1" thickBot="1" x14ac:dyDescent="0.2">
      <c r="A12" s="12"/>
      <c r="B12" s="133" t="s">
        <v>10</v>
      </c>
      <c r="C12" s="134"/>
      <c r="D12" s="134"/>
      <c r="E12" s="134"/>
      <c r="F12" s="134"/>
      <c r="G12" s="134"/>
      <c r="H12" s="134"/>
      <c r="I12" s="134"/>
      <c r="J12" s="134"/>
      <c r="K12" s="135"/>
      <c r="L12" s="10"/>
    </row>
    <row r="13" spans="1:13" s="43" customFormat="1" ht="72" customHeight="1" thickBot="1" x14ac:dyDescent="0.2">
      <c r="A13" s="49"/>
      <c r="B13" s="130" t="s">
        <v>11</v>
      </c>
      <c r="C13" s="131"/>
      <c r="D13" s="131"/>
      <c r="E13" s="46" t="s">
        <v>12</v>
      </c>
      <c r="F13" s="46" t="s">
        <v>81</v>
      </c>
      <c r="G13" s="46" t="s">
        <v>60</v>
      </c>
      <c r="H13" s="48" t="s">
        <v>13</v>
      </c>
      <c r="I13" s="47" t="s">
        <v>89</v>
      </c>
      <c r="J13" s="46" t="s">
        <v>61</v>
      </c>
      <c r="K13" s="45" t="s">
        <v>62</v>
      </c>
      <c r="L13" s="44"/>
    </row>
    <row r="14" spans="1:13" ht="30" customHeight="1" thickTop="1" x14ac:dyDescent="0.15">
      <c r="A14" s="12"/>
      <c r="B14" s="132" t="s">
        <v>57</v>
      </c>
      <c r="C14" s="126"/>
      <c r="D14" s="126"/>
      <c r="E14" s="28" t="s">
        <v>15</v>
      </c>
      <c r="F14" s="42">
        <f>IF(B14="",0,VLOOKUP($B14,$B$57:$E$86,4))</f>
        <v>50</v>
      </c>
      <c r="G14" s="41">
        <f>IF(B14="",0,VLOOKUP($B14,$B$57:$E$86,3))</f>
        <v>0.08</v>
      </c>
      <c r="H14" s="77">
        <v>400</v>
      </c>
      <c r="I14" s="39">
        <f>(I$8*I$9*H14)/1000</f>
        <v>67200</v>
      </c>
      <c r="J14" s="38">
        <f t="shared" ref="J14:J22" si="0">ROUNDUP(IF(F14=0,0,I14/F14),0)</f>
        <v>1344</v>
      </c>
      <c r="K14" s="65">
        <f t="shared" ref="K14:K22" si="1">IF(H14=0,0,J14*G14)</f>
        <v>107.52</v>
      </c>
      <c r="L14" s="10"/>
    </row>
    <row r="15" spans="1:13" ht="30" customHeight="1" x14ac:dyDescent="0.15">
      <c r="A15" s="12"/>
      <c r="B15" s="118" t="s">
        <v>53</v>
      </c>
      <c r="C15" s="92"/>
      <c r="D15" s="92"/>
      <c r="E15" s="28" t="s">
        <v>15</v>
      </c>
      <c r="F15" s="42">
        <f t="shared" ref="F15:F19" si="2">IF(B15="",0,VLOOKUP($B15,$B$57:$E$86,4))</f>
        <v>50</v>
      </c>
      <c r="G15" s="41">
        <f t="shared" ref="G15:G19" si="3">IF(B15="",0,VLOOKUP($B15,$B$57:$E$86,3))</f>
        <v>0.08</v>
      </c>
      <c r="H15" s="78">
        <v>80</v>
      </c>
      <c r="I15" s="39">
        <f t="shared" ref="I15:I22" si="4">(I$8*I$9*H15)/1000</f>
        <v>13440</v>
      </c>
      <c r="J15" s="38">
        <f t="shared" si="0"/>
        <v>269</v>
      </c>
      <c r="K15" s="65">
        <f t="shared" si="1"/>
        <v>21.52</v>
      </c>
      <c r="L15" s="10"/>
    </row>
    <row r="16" spans="1:13" ht="30" customHeight="1" x14ac:dyDescent="0.15">
      <c r="A16" s="12"/>
      <c r="B16" s="118" t="s">
        <v>92</v>
      </c>
      <c r="C16" s="92"/>
      <c r="D16" s="92"/>
      <c r="E16" s="28" t="s">
        <v>21</v>
      </c>
      <c r="F16" s="42">
        <f t="shared" si="2"/>
        <v>23.183999999999997</v>
      </c>
      <c r="G16" s="41">
        <f t="shared" si="3"/>
        <v>2.64E-2</v>
      </c>
      <c r="H16" s="78">
        <v>33.299999999999997</v>
      </c>
      <c r="I16" s="39">
        <f t="shared" si="4"/>
        <v>5594.3999999999987</v>
      </c>
      <c r="J16" s="38">
        <f t="shared" si="0"/>
        <v>242</v>
      </c>
      <c r="K16" s="65">
        <f t="shared" si="1"/>
        <v>6.3887999999999998</v>
      </c>
      <c r="L16" s="10"/>
    </row>
    <row r="17" spans="1:12" ht="30" customHeight="1" x14ac:dyDescent="0.15">
      <c r="A17" s="12"/>
      <c r="B17" s="118" t="s">
        <v>18</v>
      </c>
      <c r="C17" s="92"/>
      <c r="D17" s="92"/>
      <c r="E17" s="28" t="s">
        <v>15</v>
      </c>
      <c r="F17" s="42">
        <f t="shared" si="2"/>
        <v>25</v>
      </c>
      <c r="G17" s="41">
        <f t="shared" si="3"/>
        <v>3.5000000000000003E-2</v>
      </c>
      <c r="H17" s="78">
        <v>5</v>
      </c>
      <c r="I17" s="39">
        <f t="shared" si="4"/>
        <v>840</v>
      </c>
      <c r="J17" s="38">
        <f t="shared" si="0"/>
        <v>34</v>
      </c>
      <c r="K17" s="65">
        <f t="shared" si="1"/>
        <v>1.1900000000000002</v>
      </c>
      <c r="L17" s="10"/>
    </row>
    <row r="18" spans="1:12" ht="30" customHeight="1" x14ac:dyDescent="0.15">
      <c r="A18" s="12"/>
      <c r="B18" s="127"/>
      <c r="C18" s="128"/>
      <c r="D18" s="129"/>
      <c r="E18" s="28"/>
      <c r="F18" s="42">
        <f t="shared" si="2"/>
        <v>0</v>
      </c>
      <c r="G18" s="41">
        <f t="shared" si="3"/>
        <v>0</v>
      </c>
      <c r="H18" s="78"/>
      <c r="I18" s="39">
        <f t="shared" si="4"/>
        <v>0</v>
      </c>
      <c r="J18" s="38">
        <f t="shared" si="0"/>
        <v>0</v>
      </c>
      <c r="K18" s="65">
        <f t="shared" si="1"/>
        <v>0</v>
      </c>
      <c r="L18" s="10"/>
    </row>
    <row r="19" spans="1:12" ht="30" customHeight="1" x14ac:dyDescent="0.15">
      <c r="A19" s="12"/>
      <c r="B19" s="127"/>
      <c r="C19" s="128"/>
      <c r="D19" s="129"/>
      <c r="E19" s="28"/>
      <c r="F19" s="42">
        <f t="shared" si="2"/>
        <v>0</v>
      </c>
      <c r="G19" s="41">
        <f t="shared" si="3"/>
        <v>0</v>
      </c>
      <c r="H19" s="78"/>
      <c r="I19" s="39">
        <f t="shared" si="4"/>
        <v>0</v>
      </c>
      <c r="J19" s="38">
        <f t="shared" si="0"/>
        <v>0</v>
      </c>
      <c r="K19" s="65">
        <f t="shared" si="1"/>
        <v>0</v>
      </c>
      <c r="L19" s="10"/>
    </row>
    <row r="20" spans="1:12" ht="30" customHeight="1" x14ac:dyDescent="0.15">
      <c r="A20" s="12"/>
      <c r="B20" s="118"/>
      <c r="C20" s="92"/>
      <c r="D20" s="92"/>
      <c r="E20" s="28"/>
      <c r="F20" s="28"/>
      <c r="G20" s="29"/>
      <c r="H20" s="78"/>
      <c r="I20" s="39">
        <f t="shared" si="4"/>
        <v>0</v>
      </c>
      <c r="J20" s="38">
        <f t="shared" si="0"/>
        <v>0</v>
      </c>
      <c r="K20" s="65">
        <f t="shared" si="1"/>
        <v>0</v>
      </c>
      <c r="L20" s="10"/>
    </row>
    <row r="21" spans="1:12" ht="30" customHeight="1" x14ac:dyDescent="0.15">
      <c r="A21" s="12"/>
      <c r="B21" s="118"/>
      <c r="C21" s="92"/>
      <c r="D21" s="92"/>
      <c r="E21" s="28"/>
      <c r="F21" s="40"/>
      <c r="G21" s="27"/>
      <c r="H21" s="78"/>
      <c r="I21" s="39">
        <f t="shared" si="4"/>
        <v>0</v>
      </c>
      <c r="J21" s="38">
        <f t="shared" si="0"/>
        <v>0</v>
      </c>
      <c r="K21" s="65">
        <f t="shared" si="1"/>
        <v>0</v>
      </c>
      <c r="L21" s="10"/>
    </row>
    <row r="22" spans="1:12" ht="30" customHeight="1" thickBot="1" x14ac:dyDescent="0.2">
      <c r="A22" s="12"/>
      <c r="B22" s="121"/>
      <c r="C22" s="122"/>
      <c r="D22" s="122"/>
      <c r="E22" s="28"/>
      <c r="F22" s="37"/>
      <c r="G22" s="23"/>
      <c r="H22" s="79"/>
      <c r="I22" s="39">
        <f t="shared" si="4"/>
        <v>0</v>
      </c>
      <c r="J22" s="36">
        <f t="shared" si="0"/>
        <v>0</v>
      </c>
      <c r="K22" s="66">
        <f t="shared" si="1"/>
        <v>0</v>
      </c>
      <c r="L22" s="10"/>
    </row>
    <row r="23" spans="1:12" ht="21" thickBot="1" x14ac:dyDescent="0.2">
      <c r="A23" s="12"/>
      <c r="B23" s="119" t="s">
        <v>20</v>
      </c>
      <c r="C23" s="120"/>
      <c r="D23" s="120"/>
      <c r="E23" s="120"/>
      <c r="F23" s="120"/>
      <c r="G23" s="120"/>
      <c r="H23" s="120"/>
      <c r="I23" s="84">
        <f>ROUNDUP(SUM(I$14:I22),0)</f>
        <v>87075</v>
      </c>
      <c r="J23" s="35">
        <f>ROUNDUP(SUM(J$14:J22),2)</f>
        <v>1889</v>
      </c>
      <c r="K23" s="67">
        <f>ROUNDUP(SUM(K$14:K22),2)</f>
        <v>136.62</v>
      </c>
      <c r="L23" s="10"/>
    </row>
    <row r="24" spans="1:12" ht="9" customHeight="1" thickTop="1" thickBot="1" x14ac:dyDescent="0.2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0"/>
    </row>
    <row r="25" spans="1:12" ht="25" thickTop="1" thickBot="1" x14ac:dyDescent="0.2">
      <c r="A25" s="12"/>
      <c r="B25" s="115" t="s">
        <v>85</v>
      </c>
      <c r="C25" s="116"/>
      <c r="D25" s="116"/>
      <c r="E25" s="116"/>
      <c r="F25" s="116"/>
      <c r="G25" s="116"/>
      <c r="H25" s="116"/>
      <c r="I25" s="116"/>
      <c r="J25" s="116"/>
      <c r="K25" s="117"/>
      <c r="L25" s="10"/>
    </row>
    <row r="26" spans="1:12" ht="59.25" customHeight="1" thickBot="1" x14ac:dyDescent="0.2">
      <c r="A26" s="12"/>
      <c r="B26" s="123" t="s">
        <v>11</v>
      </c>
      <c r="C26" s="124"/>
      <c r="D26" s="124"/>
      <c r="E26" s="34" t="s">
        <v>12</v>
      </c>
      <c r="F26" s="34" t="s">
        <v>63</v>
      </c>
      <c r="G26" s="34" t="s">
        <v>64</v>
      </c>
      <c r="H26" s="32" t="s">
        <v>65</v>
      </c>
      <c r="I26" s="33" t="s">
        <v>80</v>
      </c>
      <c r="J26" s="32" t="s">
        <v>66</v>
      </c>
      <c r="K26" s="31" t="s">
        <v>67</v>
      </c>
      <c r="L26" s="10"/>
    </row>
    <row r="27" spans="1:12" ht="30" customHeight="1" thickTop="1" x14ac:dyDescent="0.15">
      <c r="A27" s="12"/>
      <c r="B27" s="125" t="s">
        <v>105</v>
      </c>
      <c r="C27" s="126"/>
      <c r="D27" s="126"/>
      <c r="E27" s="28" t="s">
        <v>22</v>
      </c>
      <c r="F27" s="28">
        <v>1.4</v>
      </c>
      <c r="G27" s="29">
        <v>5.0000000000000001E-3</v>
      </c>
      <c r="H27" s="30">
        <v>3</v>
      </c>
      <c r="I27" s="25">
        <f t="shared" ref="I27:I43" si="5">IF(H27=0,0,(F27*J27))</f>
        <v>4200</v>
      </c>
      <c r="J27" s="24">
        <f t="shared" ref="J27:J43" si="6">ROUNDUP(IF(H27=0,0,$I$7*H27),0)</f>
        <v>3000</v>
      </c>
      <c r="K27" s="69">
        <f t="shared" ref="K27:K43" si="7">IF(G27=0,0,J27*G27)</f>
        <v>15</v>
      </c>
      <c r="L27" s="10"/>
    </row>
    <row r="28" spans="1:12" ht="30" customHeight="1" x14ac:dyDescent="0.15">
      <c r="A28" s="12"/>
      <c r="B28" s="91" t="s">
        <v>106</v>
      </c>
      <c r="C28" s="92"/>
      <c r="D28" s="92"/>
      <c r="E28" s="28" t="s">
        <v>22</v>
      </c>
      <c r="F28" s="28">
        <v>5.4</v>
      </c>
      <c r="G28" s="29">
        <v>1.0999999999999999E-2</v>
      </c>
      <c r="H28" s="26">
        <v>1</v>
      </c>
      <c r="I28" s="25">
        <f t="shared" si="5"/>
        <v>5400</v>
      </c>
      <c r="J28" s="24">
        <f t="shared" si="6"/>
        <v>1000</v>
      </c>
      <c r="K28" s="69">
        <f t="shared" si="7"/>
        <v>11</v>
      </c>
      <c r="L28" s="10"/>
    </row>
    <row r="29" spans="1:12" ht="30" customHeight="1" x14ac:dyDescent="0.15">
      <c r="A29" s="12"/>
      <c r="B29" s="91" t="s">
        <v>107</v>
      </c>
      <c r="C29" s="92"/>
      <c r="D29" s="92"/>
      <c r="E29" s="28" t="s">
        <v>21</v>
      </c>
      <c r="F29" s="28">
        <v>5</v>
      </c>
      <c r="G29" s="29">
        <v>0.04</v>
      </c>
      <c r="H29" s="26">
        <v>1</v>
      </c>
      <c r="I29" s="25">
        <f t="shared" si="5"/>
        <v>5000</v>
      </c>
      <c r="J29" s="24">
        <f t="shared" si="6"/>
        <v>1000</v>
      </c>
      <c r="K29" s="69">
        <f t="shared" si="7"/>
        <v>40</v>
      </c>
      <c r="L29" s="10"/>
    </row>
    <row r="30" spans="1:12" ht="30" customHeight="1" x14ac:dyDescent="0.15">
      <c r="A30" s="12"/>
      <c r="B30" s="91"/>
      <c r="C30" s="92"/>
      <c r="D30" s="92"/>
      <c r="E30" s="28"/>
      <c r="F30" s="28"/>
      <c r="G30" s="29"/>
      <c r="H30" s="26"/>
      <c r="I30" s="25">
        <f t="shared" si="5"/>
        <v>0</v>
      </c>
      <c r="J30" s="24">
        <f t="shared" si="6"/>
        <v>0</v>
      </c>
      <c r="K30" s="69">
        <f t="shared" si="7"/>
        <v>0</v>
      </c>
      <c r="L30" s="10"/>
    </row>
    <row r="31" spans="1:12" ht="30" customHeight="1" x14ac:dyDescent="0.15">
      <c r="A31" s="12"/>
      <c r="B31" s="91"/>
      <c r="C31" s="92"/>
      <c r="D31" s="92"/>
      <c r="E31" s="28"/>
      <c r="F31" s="28"/>
      <c r="G31" s="29"/>
      <c r="H31" s="26"/>
      <c r="I31" s="25">
        <f t="shared" ref="I31:I35" si="8">IF(H31=0,0,(F31*J31))</f>
        <v>0</v>
      </c>
      <c r="J31" s="24">
        <f t="shared" ref="J31:J35" si="9">ROUNDUP(IF(H31=0,0,$I$7*H31),0)</f>
        <v>0</v>
      </c>
      <c r="K31" s="69">
        <f t="shared" ref="K31:K35" si="10">IF(G31=0,0,J31*G31)</f>
        <v>0</v>
      </c>
      <c r="L31" s="10"/>
    </row>
    <row r="32" spans="1:12" ht="30" customHeight="1" x14ac:dyDescent="0.15">
      <c r="A32" s="12"/>
      <c r="B32" s="91"/>
      <c r="C32" s="92"/>
      <c r="D32" s="92"/>
      <c r="E32" s="28"/>
      <c r="F32" s="28"/>
      <c r="G32" s="29"/>
      <c r="H32" s="26"/>
      <c r="I32" s="25">
        <f t="shared" si="8"/>
        <v>0</v>
      </c>
      <c r="J32" s="24">
        <f t="shared" si="9"/>
        <v>0</v>
      </c>
      <c r="K32" s="69">
        <f t="shared" si="10"/>
        <v>0</v>
      </c>
      <c r="L32" s="10"/>
    </row>
    <row r="33" spans="1:12" ht="30" customHeight="1" x14ac:dyDescent="0.15">
      <c r="A33" s="12"/>
      <c r="B33" s="91"/>
      <c r="C33" s="92"/>
      <c r="D33" s="92"/>
      <c r="E33" s="28"/>
      <c r="F33" s="28"/>
      <c r="G33" s="29"/>
      <c r="H33" s="26"/>
      <c r="I33" s="25">
        <f t="shared" si="8"/>
        <v>0</v>
      </c>
      <c r="J33" s="24">
        <f t="shared" si="9"/>
        <v>0</v>
      </c>
      <c r="K33" s="69">
        <f t="shared" si="10"/>
        <v>0</v>
      </c>
      <c r="L33" s="10"/>
    </row>
    <row r="34" spans="1:12" ht="30" customHeight="1" x14ac:dyDescent="0.15">
      <c r="A34" s="12"/>
      <c r="B34" s="91"/>
      <c r="C34" s="92"/>
      <c r="D34" s="92"/>
      <c r="E34" s="28"/>
      <c r="F34" s="28"/>
      <c r="G34" s="29"/>
      <c r="H34" s="26"/>
      <c r="I34" s="25">
        <f t="shared" si="8"/>
        <v>0</v>
      </c>
      <c r="J34" s="24">
        <f t="shared" si="9"/>
        <v>0</v>
      </c>
      <c r="K34" s="69">
        <f t="shared" si="10"/>
        <v>0</v>
      </c>
      <c r="L34" s="10"/>
    </row>
    <row r="35" spans="1:12" ht="30" customHeight="1" x14ac:dyDescent="0.15">
      <c r="A35" s="12"/>
      <c r="B35" s="91"/>
      <c r="C35" s="92"/>
      <c r="D35" s="92"/>
      <c r="E35" s="28"/>
      <c r="F35" s="28"/>
      <c r="G35" s="29"/>
      <c r="H35" s="26"/>
      <c r="I35" s="25">
        <f t="shared" si="8"/>
        <v>0</v>
      </c>
      <c r="J35" s="24">
        <f t="shared" si="9"/>
        <v>0</v>
      </c>
      <c r="K35" s="69">
        <f t="shared" si="10"/>
        <v>0</v>
      </c>
      <c r="L35" s="10"/>
    </row>
    <row r="36" spans="1:12" ht="30" customHeight="1" x14ac:dyDescent="0.15">
      <c r="A36" s="12"/>
      <c r="B36" s="91"/>
      <c r="C36" s="92"/>
      <c r="D36" s="92"/>
      <c r="E36" s="28"/>
      <c r="F36" s="28"/>
      <c r="G36" s="29"/>
      <c r="H36" s="26"/>
      <c r="I36" s="25">
        <f t="shared" si="5"/>
        <v>0</v>
      </c>
      <c r="J36" s="24">
        <f t="shared" si="6"/>
        <v>0</v>
      </c>
      <c r="K36" s="69">
        <f t="shared" si="7"/>
        <v>0</v>
      </c>
      <c r="L36" s="10"/>
    </row>
    <row r="37" spans="1:12" ht="30" customHeight="1" x14ac:dyDescent="0.15">
      <c r="A37" s="12"/>
      <c r="B37" s="91"/>
      <c r="C37" s="92"/>
      <c r="D37" s="92"/>
      <c r="E37" s="28"/>
      <c r="F37" s="28"/>
      <c r="G37" s="29"/>
      <c r="H37" s="26"/>
      <c r="I37" s="25">
        <f t="shared" ref="I37:I38" si="11">IF(H37=0,0,(F37*J37))</f>
        <v>0</v>
      </c>
      <c r="J37" s="24">
        <f t="shared" ref="J37:J38" si="12">ROUNDUP(IF(H37=0,0,$I$7*H37),0)</f>
        <v>0</v>
      </c>
      <c r="K37" s="69">
        <f t="shared" ref="K37:K38" si="13">IF(G37=0,0,J37*G37)</f>
        <v>0</v>
      </c>
      <c r="L37" s="10"/>
    </row>
    <row r="38" spans="1:12" ht="30" customHeight="1" x14ac:dyDescent="0.15">
      <c r="A38" s="12"/>
      <c r="B38" s="91"/>
      <c r="C38" s="92"/>
      <c r="D38" s="92"/>
      <c r="E38" s="28"/>
      <c r="F38" s="28"/>
      <c r="G38" s="29"/>
      <c r="H38" s="26"/>
      <c r="I38" s="25">
        <f t="shared" si="11"/>
        <v>0</v>
      </c>
      <c r="J38" s="24">
        <f t="shared" si="12"/>
        <v>0</v>
      </c>
      <c r="K38" s="69">
        <f t="shared" si="13"/>
        <v>0</v>
      </c>
      <c r="L38" s="10"/>
    </row>
    <row r="39" spans="1:12" ht="30" customHeight="1" x14ac:dyDescent="0.15">
      <c r="A39" s="12"/>
      <c r="B39" s="91"/>
      <c r="C39" s="92"/>
      <c r="D39" s="92"/>
      <c r="E39" s="28"/>
      <c r="F39" s="28"/>
      <c r="G39" s="29"/>
      <c r="H39" s="26"/>
      <c r="I39" s="25">
        <f t="shared" si="5"/>
        <v>0</v>
      </c>
      <c r="J39" s="24">
        <f t="shared" si="6"/>
        <v>0</v>
      </c>
      <c r="K39" s="69">
        <f t="shared" si="7"/>
        <v>0</v>
      </c>
      <c r="L39" s="10"/>
    </row>
    <row r="40" spans="1:12" ht="30" customHeight="1" x14ac:dyDescent="0.15">
      <c r="A40" s="12"/>
      <c r="B40" s="91"/>
      <c r="C40" s="92"/>
      <c r="D40" s="92"/>
      <c r="E40" s="28"/>
      <c r="F40" s="28"/>
      <c r="G40" s="29"/>
      <c r="H40" s="26"/>
      <c r="I40" s="25">
        <f t="shared" si="5"/>
        <v>0</v>
      </c>
      <c r="J40" s="24">
        <f t="shared" si="6"/>
        <v>0</v>
      </c>
      <c r="K40" s="69">
        <f t="shared" si="7"/>
        <v>0</v>
      </c>
      <c r="L40" s="10"/>
    </row>
    <row r="41" spans="1:12" ht="30" customHeight="1" x14ac:dyDescent="0.15">
      <c r="A41" s="12"/>
      <c r="B41" s="91"/>
      <c r="C41" s="92"/>
      <c r="D41" s="92"/>
      <c r="E41" s="28"/>
      <c r="F41" s="28"/>
      <c r="G41" s="29"/>
      <c r="H41" s="26"/>
      <c r="I41" s="25">
        <f t="shared" si="5"/>
        <v>0</v>
      </c>
      <c r="J41" s="24">
        <f t="shared" si="6"/>
        <v>0</v>
      </c>
      <c r="K41" s="69">
        <f t="shared" si="7"/>
        <v>0</v>
      </c>
      <c r="L41" s="10"/>
    </row>
    <row r="42" spans="1:12" ht="30" customHeight="1" x14ac:dyDescent="0.15">
      <c r="A42" s="12"/>
      <c r="B42" s="91"/>
      <c r="C42" s="92"/>
      <c r="D42" s="92"/>
      <c r="E42" s="28"/>
      <c r="F42" s="28"/>
      <c r="G42" s="29"/>
      <c r="H42" s="26"/>
      <c r="I42" s="25">
        <f t="shared" si="5"/>
        <v>0</v>
      </c>
      <c r="J42" s="24">
        <f t="shared" si="6"/>
        <v>0</v>
      </c>
      <c r="K42" s="69">
        <f t="shared" si="7"/>
        <v>0</v>
      </c>
      <c r="L42" s="10"/>
    </row>
    <row r="43" spans="1:12" ht="30" customHeight="1" thickBot="1" x14ac:dyDescent="0.2">
      <c r="A43" s="12"/>
      <c r="B43" s="91"/>
      <c r="C43" s="92"/>
      <c r="D43" s="92"/>
      <c r="E43" s="28"/>
      <c r="F43" s="28"/>
      <c r="G43" s="29"/>
      <c r="H43" s="26"/>
      <c r="I43" s="25">
        <f t="shared" si="5"/>
        <v>0</v>
      </c>
      <c r="J43" s="24">
        <f t="shared" si="6"/>
        <v>0</v>
      </c>
      <c r="K43" s="69">
        <f t="shared" si="7"/>
        <v>0</v>
      </c>
      <c r="L43" s="10"/>
    </row>
    <row r="44" spans="1:12" ht="21" thickBot="1" x14ac:dyDescent="0.2">
      <c r="A44" s="12"/>
      <c r="B44" s="93" t="s">
        <v>23</v>
      </c>
      <c r="C44" s="94"/>
      <c r="D44" s="94"/>
      <c r="E44" s="94"/>
      <c r="F44" s="94"/>
      <c r="G44" s="94"/>
      <c r="H44" s="94"/>
      <c r="I44" s="83">
        <f>ROUNDUP(SUM(I$27:I43),0)</f>
        <v>14600</v>
      </c>
      <c r="J44" s="22">
        <f>SUM(J27:J43)</f>
        <v>5000</v>
      </c>
      <c r="K44" s="70">
        <f>ROUNDUP(SUM(K$27:K43),2)</f>
        <v>66</v>
      </c>
      <c r="L44" s="10"/>
    </row>
    <row r="45" spans="1:12" ht="11.25" customHeight="1" thickTop="1" thickBot="1" x14ac:dyDescent="0.2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0"/>
    </row>
    <row r="46" spans="1:12" ht="30" thickTop="1" thickBot="1" x14ac:dyDescent="0.2">
      <c r="A46" s="12"/>
      <c r="B46" s="95" t="s">
        <v>24</v>
      </c>
      <c r="C46" s="96"/>
      <c r="D46" s="96"/>
      <c r="E46" s="96"/>
      <c r="F46" s="96"/>
      <c r="G46" s="96"/>
      <c r="H46" s="96"/>
      <c r="I46" s="61" t="s">
        <v>79</v>
      </c>
      <c r="J46" s="85" t="s">
        <v>78</v>
      </c>
      <c r="K46" s="62" t="s">
        <v>77</v>
      </c>
      <c r="L46" s="10"/>
    </row>
    <row r="47" spans="1:12" ht="21" thickBot="1" x14ac:dyDescent="0.2">
      <c r="A47" s="12"/>
      <c r="B47" s="97"/>
      <c r="C47" s="98"/>
      <c r="D47" s="98"/>
      <c r="E47" s="98"/>
      <c r="F47" s="98"/>
      <c r="G47" s="98"/>
      <c r="H47" s="98"/>
      <c r="I47" s="68">
        <f>FoodWeight+NFIWeight</f>
        <v>101675</v>
      </c>
      <c r="J47" s="81">
        <f>TotalKG/1000</f>
        <v>101.675</v>
      </c>
      <c r="K47" s="82">
        <f>FoodVolume+NFIVolume</f>
        <v>202.62</v>
      </c>
      <c r="L47" s="10"/>
    </row>
    <row r="48" spans="1:12" ht="11.25" customHeight="1" thickTop="1" thickBot="1" x14ac:dyDescent="0.2">
      <c r="A48" s="12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10"/>
    </row>
    <row r="49" spans="1:12" ht="25" thickTop="1" thickBot="1" x14ac:dyDescent="0.2">
      <c r="A49" s="12"/>
      <c r="B49" s="88" t="s">
        <v>25</v>
      </c>
      <c r="C49" s="89"/>
      <c r="D49" s="89"/>
      <c r="E49" s="89"/>
      <c r="F49" s="89"/>
      <c r="G49" s="89"/>
      <c r="H49" s="89"/>
      <c r="I49" s="89"/>
      <c r="J49" s="89"/>
      <c r="K49" s="90"/>
      <c r="L49" s="10"/>
    </row>
    <row r="50" spans="1:12" s="18" customFormat="1" ht="69.75" customHeight="1" thickTop="1" thickBot="1" x14ac:dyDescent="0.2">
      <c r="A50" s="20"/>
      <c r="B50" s="72" t="s">
        <v>26</v>
      </c>
      <c r="C50" s="73" t="s">
        <v>27</v>
      </c>
      <c r="D50" s="73" t="s">
        <v>28</v>
      </c>
      <c r="E50" s="86" t="s">
        <v>29</v>
      </c>
      <c r="F50" s="86"/>
      <c r="G50" s="73" t="s">
        <v>30</v>
      </c>
      <c r="H50" s="73" t="s">
        <v>31</v>
      </c>
      <c r="I50" s="73" t="s">
        <v>32</v>
      </c>
      <c r="J50" s="73" t="s">
        <v>33</v>
      </c>
      <c r="K50" s="74" t="s">
        <v>34</v>
      </c>
      <c r="L50" s="19"/>
    </row>
    <row r="51" spans="1:12" ht="25" thickTop="1" thickBot="1" x14ac:dyDescent="0.2">
      <c r="A51" s="12"/>
      <c r="B51" s="17">
        <v>4</v>
      </c>
      <c r="C51" s="16">
        <v>24</v>
      </c>
      <c r="D51" s="15">
        <v>0.2</v>
      </c>
      <c r="E51" s="87">
        <f>IF(RoundTripTime=0,0,ROUNDDOWN(DeliveryTime/(RoundTripTime/24),0))</f>
        <v>4</v>
      </c>
      <c r="F51" s="87"/>
      <c r="G51" s="14">
        <v>8</v>
      </c>
      <c r="H51" s="80">
        <v>20</v>
      </c>
      <c r="I51" s="71">
        <f>IF(AvgCapacity=0,0,ROUNDUP(TotalMT/AvgCapacity,0))</f>
        <v>13</v>
      </c>
      <c r="J51" s="71">
        <f>IF(AvgCapacityM3=0,0,ROUNDUP(TotalVolume/AvgCapacityM3,0))</f>
        <v>11</v>
      </c>
      <c r="K51" s="64">
        <f>IF(FullLoadsWeight=0,0,IF(FullLoadsWeight&gt;=FullLoadsVolume,(ROUNDUP((FullLoadsWeight/Possibletrips)*(1+ExcessCapacity),0)),(ROUNDUP((FullLoadsVolume/Possibletrips)*(1+ExcessCapacity),0))))</f>
        <v>4</v>
      </c>
      <c r="L51" s="10"/>
    </row>
    <row r="52" spans="1:12" ht="48" customHeight="1" thickTop="1" x14ac:dyDescent="0.15">
      <c r="A52" s="12"/>
      <c r="B52" s="63"/>
      <c r="C52" s="102"/>
      <c r="D52" s="102"/>
      <c r="E52" s="102"/>
      <c r="F52" s="13"/>
      <c r="G52" s="103"/>
      <c r="H52" s="103"/>
      <c r="I52" s="13"/>
      <c r="J52" s="101"/>
      <c r="K52" s="101"/>
      <c r="L52" s="10"/>
    </row>
    <row r="53" spans="1:12" x14ac:dyDescent="0.15">
      <c r="A53" s="12"/>
      <c r="B53" s="11"/>
      <c r="C53" s="100" t="s">
        <v>35</v>
      </c>
      <c r="D53" s="100"/>
      <c r="E53" s="100"/>
      <c r="F53" s="11"/>
      <c r="G53" s="99" t="s">
        <v>36</v>
      </c>
      <c r="H53" s="99"/>
      <c r="I53" s="11"/>
      <c r="J53" s="100" t="s">
        <v>37</v>
      </c>
      <c r="K53" s="100"/>
      <c r="L53" s="10"/>
    </row>
    <row r="54" spans="1:12" ht="5.25" customHeight="1" thickBot="1" x14ac:dyDescent="0.2">
      <c r="A54" s="9"/>
      <c r="B54" s="8"/>
      <c r="C54" s="8"/>
      <c r="D54" s="8"/>
      <c r="E54" s="8"/>
      <c r="F54" s="8"/>
      <c r="G54" s="8"/>
      <c r="H54" s="8"/>
      <c r="I54" s="8"/>
      <c r="J54" s="8"/>
      <c r="K54" s="8"/>
      <c r="L54" s="7"/>
    </row>
    <row r="55" spans="1:12" ht="15" thickTop="1" x14ac:dyDescent="0.15"/>
    <row r="56" spans="1:12" hidden="1" x14ac:dyDescent="0.15">
      <c r="B56" s="1" t="s">
        <v>98</v>
      </c>
      <c r="C56" s="1" t="s">
        <v>97</v>
      </c>
      <c r="D56" s="1" t="s">
        <v>99</v>
      </c>
      <c r="E56" s="1" t="s">
        <v>100</v>
      </c>
      <c r="F56" s="1" t="s">
        <v>101</v>
      </c>
    </row>
    <row r="57" spans="1:12" ht="16" hidden="1" x14ac:dyDescent="0.2">
      <c r="B57" s="5" t="s">
        <v>38</v>
      </c>
      <c r="C57" s="4"/>
      <c r="D57" s="3">
        <v>0.16</v>
      </c>
      <c r="E57" s="2">
        <v>100</v>
      </c>
      <c r="F57" s="1" t="s">
        <v>15</v>
      </c>
      <c r="G57" s="6" t="s">
        <v>39</v>
      </c>
    </row>
    <row r="58" spans="1:12" ht="16" hidden="1" x14ac:dyDescent="0.2">
      <c r="B58" s="5" t="s">
        <v>40</v>
      </c>
      <c r="C58" s="5"/>
      <c r="D58" s="3">
        <v>0.08</v>
      </c>
      <c r="E58" s="2">
        <v>50</v>
      </c>
      <c r="F58" s="1" t="s">
        <v>15</v>
      </c>
      <c r="G58" s="6" t="s">
        <v>41</v>
      </c>
    </row>
    <row r="59" spans="1:12" ht="16" hidden="1" x14ac:dyDescent="0.2">
      <c r="B59" s="5" t="s">
        <v>42</v>
      </c>
      <c r="C59" s="4"/>
      <c r="D59" s="3">
        <v>0.08</v>
      </c>
      <c r="E59" s="2">
        <v>50</v>
      </c>
      <c r="F59" s="1" t="s">
        <v>15</v>
      </c>
      <c r="G59" s="6" t="s">
        <v>17</v>
      </c>
    </row>
    <row r="60" spans="1:12" ht="16" hidden="1" x14ac:dyDescent="0.2">
      <c r="B60" s="5" t="s">
        <v>76</v>
      </c>
      <c r="C60" s="4"/>
      <c r="D60" s="3">
        <v>0.08</v>
      </c>
      <c r="E60" s="2">
        <v>50</v>
      </c>
      <c r="F60" s="1" t="s">
        <v>15</v>
      </c>
      <c r="G60" s="6" t="s">
        <v>43</v>
      </c>
    </row>
    <row r="61" spans="1:12" ht="16" hidden="1" x14ac:dyDescent="0.2">
      <c r="B61" s="5" t="s">
        <v>14</v>
      </c>
      <c r="C61" s="4"/>
      <c r="D61" s="3">
        <v>0.16</v>
      </c>
      <c r="E61" s="2">
        <v>100</v>
      </c>
      <c r="F61" s="1" t="s">
        <v>15</v>
      </c>
      <c r="G61" s="6" t="s">
        <v>44</v>
      </c>
    </row>
    <row r="62" spans="1:12" ht="16" hidden="1" x14ac:dyDescent="0.2">
      <c r="B62" s="5" t="s">
        <v>45</v>
      </c>
      <c r="C62" s="4"/>
      <c r="D62" s="3">
        <v>0.08</v>
      </c>
      <c r="E62" s="2">
        <v>50</v>
      </c>
      <c r="F62" s="1" t="s">
        <v>15</v>
      </c>
      <c r="G62" s="6" t="s">
        <v>21</v>
      </c>
    </row>
    <row r="63" spans="1:12" ht="16" hidden="1" x14ac:dyDescent="0.2">
      <c r="B63" s="5" t="s">
        <v>75</v>
      </c>
      <c r="C63" s="4"/>
      <c r="D63" s="3">
        <v>0.04</v>
      </c>
      <c r="E63" s="2">
        <v>25</v>
      </c>
      <c r="F63" s="1" t="s">
        <v>15</v>
      </c>
      <c r="G63" s="6" t="s">
        <v>22</v>
      </c>
    </row>
    <row r="64" spans="1:12" ht="16" hidden="1" x14ac:dyDescent="0.2">
      <c r="B64" s="5" t="s">
        <v>74</v>
      </c>
      <c r="C64" s="4"/>
      <c r="D64" s="3">
        <v>0.04</v>
      </c>
      <c r="E64" s="2">
        <v>25</v>
      </c>
      <c r="F64" s="1" t="s">
        <v>15</v>
      </c>
      <c r="G64" s="6" t="s">
        <v>46</v>
      </c>
    </row>
    <row r="65" spans="2:7" ht="16" hidden="1" x14ac:dyDescent="0.2">
      <c r="B65" s="5" t="s">
        <v>73</v>
      </c>
      <c r="C65" s="4"/>
      <c r="D65" s="3">
        <v>0.04</v>
      </c>
      <c r="E65" s="2">
        <v>25</v>
      </c>
      <c r="F65" s="1" t="s">
        <v>15</v>
      </c>
      <c r="G65" s="6" t="s">
        <v>47</v>
      </c>
    </row>
    <row r="66" spans="2:7" ht="16" hidden="1" x14ac:dyDescent="0.2">
      <c r="B66" s="5" t="s">
        <v>72</v>
      </c>
      <c r="C66" s="4"/>
      <c r="D66" s="3">
        <v>0.04</v>
      </c>
      <c r="E66" s="2">
        <v>25</v>
      </c>
      <c r="F66" s="1" t="s">
        <v>15</v>
      </c>
      <c r="G66" s="6" t="s">
        <v>48</v>
      </c>
    </row>
    <row r="67" spans="2:7" ht="16" hidden="1" x14ac:dyDescent="0.2">
      <c r="B67" s="5" t="s">
        <v>71</v>
      </c>
      <c r="C67" s="4"/>
      <c r="D67" s="3">
        <v>0.04</v>
      </c>
      <c r="E67" s="2">
        <v>25</v>
      </c>
      <c r="F67" s="1" t="s">
        <v>15</v>
      </c>
      <c r="G67" s="6" t="s">
        <v>49</v>
      </c>
    </row>
    <row r="68" spans="2:7" ht="16" hidden="1" x14ac:dyDescent="0.2">
      <c r="B68" s="5" t="s">
        <v>50</v>
      </c>
      <c r="C68" s="4"/>
      <c r="D68" s="3">
        <v>0.04</v>
      </c>
      <c r="E68" s="2">
        <v>25</v>
      </c>
      <c r="F68" s="1" t="s">
        <v>15</v>
      </c>
      <c r="G68" s="6" t="s">
        <v>51</v>
      </c>
    </row>
    <row r="69" spans="2:7" ht="16" hidden="1" x14ac:dyDescent="0.2">
      <c r="B69" s="5" t="s">
        <v>16</v>
      </c>
      <c r="C69" s="4"/>
      <c r="D69" s="3">
        <v>0.08</v>
      </c>
      <c r="E69" s="2">
        <v>50</v>
      </c>
      <c r="F69" s="1" t="s">
        <v>15</v>
      </c>
      <c r="G69" s="6" t="s">
        <v>15</v>
      </c>
    </row>
    <row r="70" spans="2:7" ht="16" hidden="1" x14ac:dyDescent="0.2">
      <c r="B70" s="5" t="s">
        <v>52</v>
      </c>
      <c r="C70" s="4"/>
      <c r="D70" s="3">
        <v>0.16</v>
      </c>
      <c r="E70" s="2">
        <v>100</v>
      </c>
      <c r="F70" s="1" t="s">
        <v>15</v>
      </c>
      <c r="G70" s="1" t="s">
        <v>87</v>
      </c>
    </row>
    <row r="71" spans="2:7" ht="16" hidden="1" x14ac:dyDescent="0.2">
      <c r="B71" s="5" t="s">
        <v>53</v>
      </c>
      <c r="C71" s="4"/>
      <c r="D71" s="3">
        <v>0.08</v>
      </c>
      <c r="E71" s="2">
        <v>50</v>
      </c>
      <c r="F71" s="1" t="s">
        <v>15</v>
      </c>
    </row>
    <row r="72" spans="2:7" ht="16" hidden="1" x14ac:dyDescent="0.2">
      <c r="B72" s="5" t="s">
        <v>19</v>
      </c>
      <c r="C72" s="4"/>
      <c r="D72" s="3">
        <v>0.16</v>
      </c>
      <c r="E72" s="2">
        <v>100</v>
      </c>
      <c r="F72" s="1" t="s">
        <v>15</v>
      </c>
    </row>
    <row r="73" spans="2:7" ht="16" hidden="1" x14ac:dyDescent="0.2">
      <c r="B73" s="5" t="s">
        <v>54</v>
      </c>
      <c r="C73" s="4"/>
      <c r="D73" s="3">
        <v>0.08</v>
      </c>
      <c r="E73" s="2">
        <v>50</v>
      </c>
      <c r="F73" s="1" t="s">
        <v>15</v>
      </c>
    </row>
    <row r="74" spans="2:7" ht="16" hidden="1" x14ac:dyDescent="0.2">
      <c r="B74" s="5" t="s">
        <v>18</v>
      </c>
      <c r="C74" s="4"/>
      <c r="D74" s="3">
        <f>0.035</f>
        <v>3.5000000000000003E-2</v>
      </c>
      <c r="E74" s="2">
        <v>25</v>
      </c>
      <c r="F74" s="1" t="s">
        <v>15</v>
      </c>
    </row>
    <row r="75" spans="2:7" ht="16" hidden="1" x14ac:dyDescent="0.2">
      <c r="B75" s="5" t="s">
        <v>55</v>
      </c>
      <c r="C75" s="4"/>
      <c r="D75" s="3">
        <v>7.0000000000000007E-2</v>
      </c>
      <c r="E75" s="2">
        <v>50</v>
      </c>
      <c r="F75" s="1" t="s">
        <v>15</v>
      </c>
    </row>
    <row r="76" spans="2:7" ht="16" hidden="1" x14ac:dyDescent="0.2">
      <c r="B76" s="5" t="s">
        <v>56</v>
      </c>
      <c r="C76" s="4"/>
      <c r="D76" s="3">
        <v>0.16</v>
      </c>
      <c r="E76" s="2">
        <v>100</v>
      </c>
      <c r="F76" s="1" t="s">
        <v>15</v>
      </c>
    </row>
    <row r="77" spans="2:7" ht="16" hidden="1" x14ac:dyDescent="0.2">
      <c r="B77" s="5" t="s">
        <v>57</v>
      </c>
      <c r="C77" s="4"/>
      <c r="D77" s="3">
        <v>0.08</v>
      </c>
      <c r="E77" s="2">
        <v>50</v>
      </c>
      <c r="F77" s="1" t="s">
        <v>15</v>
      </c>
    </row>
    <row r="78" spans="2:7" ht="16" hidden="1" x14ac:dyDescent="0.2">
      <c r="B78" s="5" t="s">
        <v>70</v>
      </c>
      <c r="C78" s="4"/>
      <c r="D78" s="3">
        <v>0.04</v>
      </c>
      <c r="E78" s="2">
        <v>25</v>
      </c>
      <c r="F78" s="1" t="s">
        <v>15</v>
      </c>
    </row>
    <row r="79" spans="2:7" ht="16" hidden="1" x14ac:dyDescent="0.2">
      <c r="B79" s="5" t="s">
        <v>94</v>
      </c>
      <c r="C79" s="4"/>
      <c r="D79" s="3">
        <f>210/1000</f>
        <v>0.21</v>
      </c>
      <c r="E79" s="2">
        <f>(4.6/5)*208</f>
        <v>191.35999999999999</v>
      </c>
      <c r="F79" s="1" t="s">
        <v>90</v>
      </c>
    </row>
    <row r="80" spans="2:7" ht="16" hidden="1" x14ac:dyDescent="0.2">
      <c r="B80" s="5" t="s">
        <v>91</v>
      </c>
      <c r="C80" s="4"/>
      <c r="D80" s="3">
        <f>1.1*0.004*6</f>
        <v>2.64E-2</v>
      </c>
      <c r="E80" s="2">
        <f>1.05*((4.6/5)*4)*6</f>
        <v>23.183999999999997</v>
      </c>
      <c r="F80" s="1" t="s">
        <v>95</v>
      </c>
    </row>
    <row r="81" spans="2:6" ht="16" hidden="1" x14ac:dyDescent="0.2">
      <c r="B81" s="5" t="s">
        <v>102</v>
      </c>
      <c r="C81" s="4"/>
      <c r="D81" s="3">
        <f>1.1*0.005*4</f>
        <v>2.2000000000000002E-2</v>
      </c>
      <c r="E81" s="2">
        <f>1.05*((4.6/5)*5)*4</f>
        <v>19.32</v>
      </c>
      <c r="F81" s="1" t="s">
        <v>96</v>
      </c>
    </row>
    <row r="82" spans="2:6" ht="16" hidden="1" x14ac:dyDescent="0.2">
      <c r="B82" s="5" t="s">
        <v>93</v>
      </c>
      <c r="C82" s="4"/>
      <c r="D82" s="3">
        <f>1.1*(20/1000)</f>
        <v>2.2000000000000002E-2</v>
      </c>
      <c r="E82" s="2">
        <f>1.05*((4.6/5)*20)</f>
        <v>19.32</v>
      </c>
      <c r="F82" s="1" t="s">
        <v>90</v>
      </c>
    </row>
    <row r="83" spans="2:6" ht="16" hidden="1" x14ac:dyDescent="0.2">
      <c r="B83" s="5" t="s">
        <v>69</v>
      </c>
      <c r="C83" s="4"/>
      <c r="D83" s="3">
        <v>0.08</v>
      </c>
      <c r="E83" s="2">
        <v>50</v>
      </c>
      <c r="F83" s="1" t="s">
        <v>15</v>
      </c>
    </row>
    <row r="84" spans="2:6" ht="16" hidden="1" x14ac:dyDescent="0.2">
      <c r="B84" s="5" t="s">
        <v>68</v>
      </c>
      <c r="C84" s="4"/>
      <c r="D84" s="3">
        <v>0.08</v>
      </c>
      <c r="E84" s="2">
        <v>50</v>
      </c>
      <c r="F84" s="1" t="s">
        <v>15</v>
      </c>
    </row>
    <row r="85" spans="2:6" ht="16" hidden="1" x14ac:dyDescent="0.2">
      <c r="B85" s="5" t="s">
        <v>58</v>
      </c>
      <c r="C85" s="4"/>
      <c r="D85" s="3">
        <v>0.04</v>
      </c>
      <c r="E85" s="2">
        <v>25</v>
      </c>
      <c r="F85" s="1" t="s">
        <v>15</v>
      </c>
    </row>
    <row r="86" spans="2:6" ht="16" hidden="1" x14ac:dyDescent="0.2">
      <c r="B86" s="5" t="s">
        <v>59</v>
      </c>
      <c r="C86" s="4"/>
      <c r="D86" s="3">
        <v>0.04</v>
      </c>
      <c r="E86" s="2">
        <v>25</v>
      </c>
      <c r="F86" s="1" t="s">
        <v>15</v>
      </c>
    </row>
  </sheetData>
  <sheetProtection formatCells="0" selectLockedCells="1"/>
  <sortState ref="D50:F79">
    <sortCondition ref="F50"/>
  </sortState>
  <mergeCells count="61">
    <mergeCell ref="B37:D37"/>
    <mergeCell ref="B38:D38"/>
    <mergeCell ref="B31:D31"/>
    <mergeCell ref="B32:D32"/>
    <mergeCell ref="B33:D33"/>
    <mergeCell ref="B34:D34"/>
    <mergeCell ref="B35:D35"/>
    <mergeCell ref="B36:D36"/>
    <mergeCell ref="B17:D17"/>
    <mergeCell ref="B18:D18"/>
    <mergeCell ref="B11:H11"/>
    <mergeCell ref="G8:H8"/>
    <mergeCell ref="B19:D19"/>
    <mergeCell ref="B16:D16"/>
    <mergeCell ref="B13:D13"/>
    <mergeCell ref="B14:D14"/>
    <mergeCell ref="B15:D15"/>
    <mergeCell ref="B12:K12"/>
    <mergeCell ref="K9:K10"/>
    <mergeCell ref="B30:D30"/>
    <mergeCell ref="B25:K25"/>
    <mergeCell ref="B20:D20"/>
    <mergeCell ref="B21:D21"/>
    <mergeCell ref="B23:H23"/>
    <mergeCell ref="B22:D22"/>
    <mergeCell ref="B26:D26"/>
    <mergeCell ref="B27:D27"/>
    <mergeCell ref="B28:D28"/>
    <mergeCell ref="B29:D29"/>
    <mergeCell ref="G6:H6"/>
    <mergeCell ref="G7:H7"/>
    <mergeCell ref="G9:H10"/>
    <mergeCell ref="I9:I10"/>
    <mergeCell ref="J9:J10"/>
    <mergeCell ref="B1:K1"/>
    <mergeCell ref="B5:H5"/>
    <mergeCell ref="I3:K3"/>
    <mergeCell ref="D3:F3"/>
    <mergeCell ref="D4:F4"/>
    <mergeCell ref="B3:C3"/>
    <mergeCell ref="I4:K4"/>
    <mergeCell ref="G4:H4"/>
    <mergeCell ref="B2:K2"/>
    <mergeCell ref="B4:C4"/>
    <mergeCell ref="G3:H3"/>
    <mergeCell ref="G53:H53"/>
    <mergeCell ref="C53:E53"/>
    <mergeCell ref="J52:K52"/>
    <mergeCell ref="J53:K53"/>
    <mergeCell ref="C52:E52"/>
    <mergeCell ref="G52:H52"/>
    <mergeCell ref="E50:F50"/>
    <mergeCell ref="E51:F51"/>
    <mergeCell ref="B49:K49"/>
    <mergeCell ref="B39:D39"/>
    <mergeCell ref="B42:D42"/>
    <mergeCell ref="B44:H44"/>
    <mergeCell ref="B40:D40"/>
    <mergeCell ref="B41:D41"/>
    <mergeCell ref="B46:H47"/>
    <mergeCell ref="B43:D43"/>
  </mergeCells>
  <conditionalFormatting sqref="D3:F3">
    <cfRule type="containsBlanks" dxfId="16" priority="22">
      <formula>LEN(TRIM(D3))=0</formula>
    </cfRule>
  </conditionalFormatting>
  <conditionalFormatting sqref="D4">
    <cfRule type="expression" priority="19" stopIfTrue="1">
      <formula>$D$3=0</formula>
    </cfRule>
    <cfRule type="containsBlanks" dxfId="15" priority="20">
      <formula>LEN(TRIM(D4))=0</formula>
    </cfRule>
  </conditionalFormatting>
  <conditionalFormatting sqref="I3">
    <cfRule type="expression" priority="17" stopIfTrue="1">
      <formula>$D$3=0</formula>
    </cfRule>
    <cfRule type="containsBlanks" dxfId="14" priority="18">
      <formula>LEN(TRIM(I3))=0</formula>
    </cfRule>
  </conditionalFormatting>
  <conditionalFormatting sqref="I4">
    <cfRule type="expression" priority="15" stopIfTrue="1">
      <formula>$D$3=0</formula>
    </cfRule>
    <cfRule type="containsBlanks" dxfId="13" priority="16">
      <formula>LEN(TRIM(I4))=0</formula>
    </cfRule>
  </conditionalFormatting>
  <conditionalFormatting sqref="I6:I7 I9:I10">
    <cfRule type="containsBlanks" dxfId="12" priority="14">
      <formula>LEN(TRIM(I6))=0</formula>
    </cfRule>
    <cfRule type="expression" priority="13" stopIfTrue="1">
      <formula>$D$3=0</formula>
    </cfRule>
  </conditionalFormatting>
  <conditionalFormatting sqref="H14:H22">
    <cfRule type="containsBlanks" dxfId="11" priority="12">
      <formula>LEN(TRIM(H14))=0</formula>
    </cfRule>
    <cfRule type="expression" priority="11" stopIfTrue="1">
      <formula>$B14=0</formula>
    </cfRule>
  </conditionalFormatting>
  <conditionalFormatting sqref="E14:E22">
    <cfRule type="cellIs" dxfId="10" priority="10" operator="equal">
      <formula>0</formula>
    </cfRule>
    <cfRule type="expression" priority="9" stopIfTrue="1">
      <formula>$B14=0</formula>
    </cfRule>
  </conditionalFormatting>
  <conditionalFormatting sqref="F20:G22">
    <cfRule type="containsBlanks" dxfId="9" priority="8">
      <formula>LEN(TRIM(F20))=0</formula>
    </cfRule>
    <cfRule type="expression" priority="7" stopIfTrue="1">
      <formula>$B20=0</formula>
    </cfRule>
  </conditionalFormatting>
  <conditionalFormatting sqref="E27:E43">
    <cfRule type="expression" priority="5" stopIfTrue="1">
      <formula>$B27=0</formula>
    </cfRule>
    <cfRule type="cellIs" dxfId="8" priority="6" operator="equal">
      <formula>0</formula>
    </cfRule>
  </conditionalFormatting>
  <conditionalFormatting sqref="F27:G43">
    <cfRule type="expression" priority="3" stopIfTrue="1">
      <formula>$B27=0</formula>
    </cfRule>
    <cfRule type="containsBlanks" dxfId="7" priority="4">
      <formula>LEN(TRIM(F27))=0</formula>
    </cfRule>
  </conditionalFormatting>
  <conditionalFormatting sqref="H27:H43">
    <cfRule type="containsBlanks" dxfId="6" priority="2">
      <formula>LEN(TRIM(H27))=0</formula>
    </cfRule>
    <cfRule type="expression" priority="1" stopIfTrue="1">
      <formula>$B27=0</formula>
    </cfRule>
  </conditionalFormatting>
  <dataValidations count="21">
    <dataValidation type="decimal" allowBlank="1" showInputMessage="1" showErrorMessage="1" errorTitle="Excess Capacity" error="Enter a number up to 30%.  If more excess capacity is desired, reassess and revalue the estimated Round Trip Time (to include more down-time between trips)." promptTitle="Excess Capacity (max. 30%)" prompt="Enter desired excess transport capacity. Consider factors such as: status of infrastructure; condition of the transport assets; urgency of the response; distances; weather; etc.  More challenging operating conditions require more excess capacity." sqref="D51">
      <formula1>0</formula1>
      <formula2>0.3</formula2>
    </dataValidation>
    <dataValidation allowBlank="1" showInputMessage="1" showErrorMessage="1" promptTitle="Load Capacity (Cubic Meters)" prompt="Enter the load capacity in cubic meters for the average (&quot;standard&quot;) transportation asset available in the intevention area." sqref="H51"/>
    <dataValidation allowBlank="1" showInputMessage="1" showErrorMessage="1" promptTitle="Truck Capacity (MT)" prompt="Enter the average MT load capacity for the average (&quot;standard&quot;) transport asset available in the intervention area, taking into consideration road, river and landing strip conditions and contractor weight limits." sqref="G51"/>
    <dataValidation allowBlank="1" showInputMessage="1" showErrorMessage="1" promptTitle="Round Trip Time" prompt="Enter the number of hours a truck, aircraft, boat or train will take to complete a round trip under normal conditions.  Remember to include post-trip turnaround time." sqref="C51"/>
    <dataValidation allowBlank="1" showInputMessage="1" showErrorMessage="1" promptTitle="Delivery Time" prompt="Enter the number of days in which the deliveries should be completed, e.g., if all commodities are needed on the ground in a week, enter 7." sqref="B51"/>
    <dataValidation type="list" allowBlank="1" showInputMessage="1" showErrorMessage="1" promptTitle="Commodity Type" prompt="Select from the drop-down menu.  Weight and volumes will enter automatically.  If the item is not available on the drop-down list, enter it in cells B20 : B22." sqref="B14:D19">
      <formula1>Commodity</formula1>
    </dataValidation>
    <dataValidation errorStyle="warning" allowBlank="1" showInputMessage="1" showErrorMessage="1" errorTitle="Currency" error="Enter currency.  If no decimals are requied, press CTRL-N.  If decimals are required, press CTRL-D.  Default is WITH DECIMALS." promptTitle="Currency" prompt="Enter currency.  If no decimal points are required, press CTRL-N.  If decimals are required, press CTRL-D.  Default is WITH DECIMALS." sqref="J9"/>
    <dataValidation type="list" errorStyle="information" allowBlank="1" showInputMessage="1" errorTitle="Packaging" promptTitle="Packaging" prompt="Please select from the drop-down list.  If your selection isn't available, you may enter another type of packaging." sqref="E27:E43 E14:E22">
      <formula1>$G$57:$G$70</formula1>
    </dataValidation>
    <dataValidation allowBlank="1" showInputMessage="1" showErrorMessage="1" promptTitle="Country Program" prompt="Enter the name of the Country Program and its country code (e.g., DR Congo (697))." sqref="D3:F3"/>
    <dataValidation allowBlank="1" showInputMessage="1" showErrorMessage="1" promptTitle="Whse / Field Office" prompt="Enter the name of the warehouse and/or field office from thich the commodities will be dispatched." sqref="D4:F4"/>
    <dataValidation allowBlank="1" showInputMessage="1" showErrorMessage="1" promptTitle="Delivery Point" prompt="Enter the location to which the commodities will be delivered." sqref="I4:K4"/>
    <dataValidation allowBlank="1" showInputMessage="1" showErrorMessage="1" promptTitle="Est. avg. persons per household:" prompt="Enter the average household size being used for planning.  Usually, HH size is between 4 and 6.  Decimals are allowed (e.g., 5.6 &quot;persons per HH&quot;)." sqref="I6"/>
    <dataValidation allowBlank="1" showInputMessage="1" showErrorMessage="1" promptTitle="Number of HH targeted:" prompt="Enter the number of HH to qhich asistance will be provided.  This number will be multiplied by the Est. avg. persons per HH above to derive the &quot;Total estimated beneficiaries&quot; below." sqref="I7"/>
    <dataValidation allowBlank="1" showInputMessage="1" showErrorMessage="1" promptTitle="Ration period coverage:" prompt="Enter the period of time the ration will cover.  For food, the norm is 30 days.  For NFIs, the number is often 180 days (i.e., 6 months)." sqref="I9:I10"/>
    <dataValidation allowBlank="1" showInputMessage="1" showErrorMessage="1" promptTitle="Commodity Description" prompt="Enter any commodity not found in the drop-down list included in cells B14:B19 above.  Additional information is required to the right." sqref="B20:D22"/>
    <dataValidation allowBlank="1" showInputMessage="1" showErrorMessage="1" promptTitle="Unit Weight" prompt="Enter the unit weight for the commodity entered in column B." sqref="F20:F22 F27:F43"/>
    <dataValidation allowBlank="1" showInputMessage="1" showErrorMessage="1" promptTitle="Unit Volume" prompt="Enter the unit volume for the commodity listed in column B." sqref="G20:G22 G27:G43"/>
    <dataValidation allowBlank="1" showInputMessage="1" showErrorMessage="1" promptTitle="Daily Ration" prompt="Enter the daily ration by HH or individual -- IN GRAMS -- for the commodity listed in column B." sqref="H14:H22"/>
    <dataValidation allowBlank="1" showInputMessage="1" showErrorMessage="1" promptTitle="Commodity Description" prompt="Enter a full descrption of the NFI commodity to be distributed.  For example:  Plastic Sheet, 5m x 6m, white; Kitchen Set." sqref="B27:D43"/>
    <dataValidation allowBlank="1" showInputMessage="1" showErrorMessage="1" promptTitle="Units per Household" prompt="Ente the number of units to be distributed to an average-sized household.  For example, a HH of 6 may receive 1 plastic sheet (enter 1) and three blankets (enter 3)." sqref="H27:H43"/>
    <dataValidation allowBlank="1" showInputMessage="1" showErrorMessage="1" promptTitle="Date" prompt="Enter the date this plan was prepared." sqref="I3:K3"/>
  </dataValidations>
  <printOptions horizontalCentered="1"/>
  <pageMargins left="0.25" right="0.25" top="0.5" bottom="0.5" header="0.5" footer="0.5"/>
  <pageSetup paperSize="9" scale="53" orientation="portrait" horizontalDpi="1200" verticalDpi="1200" r:id="rId1"/>
  <headerFooter alignWithMargins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Weight &amp; Volume Calculator</vt:lpstr>
    </vt:vector>
  </TitlesOfParts>
  <Company>CRS EARO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Weight and Volume Calculator</dc:title>
  <dc:creator>Dave A. Coddington</dc:creator>
  <cp:lastModifiedBy>Nikita Udhwani</cp:lastModifiedBy>
  <cp:lastPrinted>2015-02-26T11:25:22Z</cp:lastPrinted>
  <dcterms:created xsi:type="dcterms:W3CDTF">2006-04-11T09:47:32Z</dcterms:created>
  <dcterms:modified xsi:type="dcterms:W3CDTF">2017-02-22T17:44:03Z</dcterms:modified>
</cp:coreProperties>
</file>