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fleetforum1.sharepoint.com/sites/files/Shared Documents/Solutions &amp; Tools/Development/Vehicle sharing between NGOs/HULO Vehicle Sharing/Joint/Implementation of Recommendations/"/>
    </mc:Choice>
  </mc:AlternateContent>
  <xr:revisionPtr revIDLastSave="2480" documentId="8_{1660AF45-2758-43D8-8ED6-96B0B2A56920}" xr6:coauthVersionLast="47" xr6:coauthVersionMax="47" xr10:uidLastSave="{33BC9439-80DF-4F5D-A10E-8FDF35F2CFB9}"/>
  <bookViews>
    <workbookView xWindow="-28920" yWindow="-7470" windowWidth="29040" windowHeight="15720" xr2:uid="{FF5E152E-E814-43CA-A326-4EAF66EBFC82}"/>
  </bookViews>
  <sheets>
    <sheet name="Instructions" sheetId="2" r:id="rId1"/>
    <sheet name="General Info" sheetId="3" r:id="rId2"/>
    <sheet name="Your Fleet Data" sheetId="4" r:id="rId3"/>
    <sheet name="Vehicle sharing impact results" sheetId="9" r:id="rId4"/>
    <sheet name="ROI &amp; Scenario Analysis" sheetId="5" r:id="rId5"/>
    <sheet name="How the formulas work" sheetId="10" r:id="rId6"/>
    <sheet name="Change Management Costs" sheetId="7" state="hidden" r:id="rId7"/>
    <sheet name="Impact Summary" sheetId="6"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4" l="1"/>
  <c r="Q37" i="4"/>
  <c r="R37" i="4" s="1"/>
  <c r="S37" i="4"/>
  <c r="T37" i="4"/>
  <c r="U37" i="4"/>
  <c r="V37" i="4"/>
  <c r="W37" i="4"/>
  <c r="X37" i="4"/>
  <c r="Y37" i="4"/>
  <c r="Z37" i="4"/>
  <c r="AA37" i="4"/>
  <c r="AB37" i="4"/>
  <c r="AC37" i="4"/>
  <c r="AD37" i="4"/>
  <c r="AE37" i="4"/>
  <c r="AF37" i="4"/>
  <c r="AG37" i="4"/>
  <c r="AH37" i="4"/>
  <c r="AI37" i="4"/>
  <c r="AJ37" i="4"/>
  <c r="AK37" i="4"/>
  <c r="AL37" i="4"/>
  <c r="AM37" i="4"/>
  <c r="AN37" i="4"/>
  <c r="AO37" i="4"/>
  <c r="AP37" i="4"/>
  <c r="AQ37" i="4"/>
  <c r="AR37" i="4"/>
  <c r="AS37" i="4"/>
  <c r="AT37" i="4"/>
  <c r="AU37" i="4"/>
  <c r="AV37" i="4"/>
  <c r="AW37" i="4"/>
  <c r="AX37" i="4"/>
  <c r="AY37" i="4"/>
  <c r="AZ37" i="4"/>
  <c r="BA37" i="4"/>
  <c r="AE35" i="4"/>
  <c r="AN35" i="4"/>
  <c r="B45" i="5"/>
  <c r="B46" i="5"/>
  <c r="B15" i="5"/>
  <c r="E15" i="5"/>
  <c r="D15" i="5"/>
  <c r="C15" i="5"/>
  <c r="AR31" i="4"/>
  <c r="AR33" i="4"/>
  <c r="AR34" i="4"/>
  <c r="AR35" i="4"/>
  <c r="AI31" i="4"/>
  <c r="AI33" i="4"/>
  <c r="AI34" i="4"/>
  <c r="AI35" i="4"/>
  <c r="Z31" i="4"/>
  <c r="Z33" i="4"/>
  <c r="Z34" i="4"/>
  <c r="Z35" i="4"/>
  <c r="AQ30" i="4"/>
  <c r="AQ32" i="4"/>
  <c r="AQ36" i="4"/>
  <c r="AH30" i="4"/>
  <c r="AH32" i="4"/>
  <c r="AH36" i="4"/>
  <c r="Y30" i="4"/>
  <c r="Y32" i="4"/>
  <c r="Y36" i="4"/>
  <c r="BA31" i="4"/>
  <c r="BA33" i="4"/>
  <c r="BA34" i="4"/>
  <c r="BA35" i="4"/>
  <c r="AZ30" i="4"/>
  <c r="AZ32" i="4"/>
  <c r="AZ36" i="4"/>
  <c r="E14" i="5" l="1"/>
  <c r="D14" i="5"/>
  <c r="C14" i="5"/>
  <c r="B14" i="5"/>
  <c r="AM30" i="4"/>
  <c r="AM31" i="4"/>
  <c r="AM32" i="4"/>
  <c r="AM33" i="4"/>
  <c r="AM34" i="4"/>
  <c r="AM35" i="4"/>
  <c r="AM36" i="4"/>
  <c r="AD30" i="4"/>
  <c r="AD31" i="4"/>
  <c r="AD32" i="4"/>
  <c r="AD33" i="4"/>
  <c r="AD34" i="4"/>
  <c r="AD35" i="4"/>
  <c r="AD36" i="4"/>
  <c r="U30" i="4"/>
  <c r="U31" i="4"/>
  <c r="U32" i="4"/>
  <c r="U33" i="4"/>
  <c r="U34" i="4"/>
  <c r="U35" i="4"/>
  <c r="U36" i="4"/>
  <c r="AY30" i="4"/>
  <c r="AY31" i="4"/>
  <c r="AY32" i="4"/>
  <c r="AY33" i="4"/>
  <c r="AY34" i="4"/>
  <c r="AY35" i="4"/>
  <c r="AY36" i="4"/>
  <c r="B4" i="5" l="1"/>
  <c r="BB37" i="4" s="1"/>
  <c r="AV30" i="4"/>
  <c r="AV31" i="4"/>
  <c r="AV32" i="4"/>
  <c r="AV33" i="4"/>
  <c r="AV34" i="4"/>
  <c r="AV36" i="4"/>
  <c r="AU35" i="4"/>
  <c r="AT30" i="4"/>
  <c r="AU30" i="4" s="1"/>
  <c r="AX30" i="4" s="1"/>
  <c r="AT31" i="4"/>
  <c r="AU31" i="4" s="1"/>
  <c r="AX31" i="4" s="1"/>
  <c r="AT32" i="4"/>
  <c r="AU32" i="4" s="1"/>
  <c r="AX32" i="4" s="1"/>
  <c r="AT33" i="4"/>
  <c r="AU33" i="4" s="1"/>
  <c r="AW33" i="4" s="1"/>
  <c r="AT34" i="4"/>
  <c r="AU34" i="4" s="1"/>
  <c r="AW34" i="4" s="1"/>
  <c r="AT35" i="4"/>
  <c r="AV35" i="4" s="1"/>
  <c r="AW35" i="4" s="1"/>
  <c r="AT36" i="4"/>
  <c r="AU36" i="4" s="1"/>
  <c r="AW36" i="4" s="1"/>
  <c r="B3" i="6" l="1"/>
  <c r="BB33" i="4"/>
  <c r="BA36" i="4"/>
  <c r="BB34" i="4"/>
  <c r="BB35" i="4"/>
  <c r="BB31" i="4"/>
  <c r="BB36" i="4"/>
  <c r="BA30" i="4"/>
  <c r="BB32" i="4"/>
  <c r="BA32" i="4"/>
  <c r="BB30" i="4"/>
  <c r="AW30" i="4"/>
  <c r="B9" i="5"/>
  <c r="AW31" i="4"/>
  <c r="AW32" i="4"/>
  <c r="B8" i="5"/>
  <c r="B6" i="6" s="1"/>
  <c r="AX34" i="4"/>
  <c r="AX35" i="4"/>
  <c r="AX33" i="4"/>
  <c r="AX36" i="4"/>
  <c r="B7" i="5"/>
  <c r="B5" i="6" s="1"/>
  <c r="B21" i="5" l="1"/>
  <c r="B20" i="5"/>
  <c r="B22" i="5"/>
  <c r="B16" i="5"/>
  <c r="B10" i="5"/>
  <c r="B7" i="6" s="1"/>
  <c r="B11" i="5"/>
  <c r="AO30" i="4"/>
  <c r="AO31" i="4"/>
  <c r="AO32" i="4"/>
  <c r="AO33" i="4"/>
  <c r="AO34" i="4"/>
  <c r="AO36" i="4"/>
  <c r="AF30" i="4"/>
  <c r="AF31" i="4"/>
  <c r="AF32" i="4"/>
  <c r="AF33" i="4"/>
  <c r="AF34" i="4"/>
  <c r="AF36" i="4"/>
  <c r="AK30" i="4"/>
  <c r="AN30" i="4" s="1"/>
  <c r="AK31" i="4"/>
  <c r="AK32" i="4"/>
  <c r="AK33" i="4"/>
  <c r="AK34" i="4"/>
  <c r="AK35" i="4"/>
  <c r="AL35" i="4" s="1"/>
  <c r="AK36" i="4"/>
  <c r="AB30" i="4"/>
  <c r="AB31" i="4"/>
  <c r="AB32" i="4"/>
  <c r="AB33" i="4"/>
  <c r="AB34" i="4"/>
  <c r="AB35" i="4"/>
  <c r="AB36" i="4"/>
  <c r="S30" i="4"/>
  <c r="V30" i="4" s="1"/>
  <c r="S31" i="4"/>
  <c r="V31" i="4" s="1"/>
  <c r="X31" i="4" s="1"/>
  <c r="S32" i="4"/>
  <c r="V32" i="4" s="1"/>
  <c r="X32" i="4" s="1"/>
  <c r="S33" i="4"/>
  <c r="T33" i="4" s="1"/>
  <c r="S34" i="4"/>
  <c r="V34" i="4" s="1"/>
  <c r="X34" i="4" s="1"/>
  <c r="S35" i="4"/>
  <c r="W35" i="4" s="1"/>
  <c r="X35" i="4" s="1"/>
  <c r="S36" i="4"/>
  <c r="V36" i="4" s="1"/>
  <c r="X36" i="4" s="1"/>
  <c r="W30" i="4"/>
  <c r="W31" i="4"/>
  <c r="W32" i="4"/>
  <c r="W33" i="4"/>
  <c r="W34" i="4"/>
  <c r="W36" i="4"/>
  <c r="V35" i="4"/>
  <c r="B5" i="5"/>
  <c r="B6" i="5" s="1"/>
  <c r="B4" i="6" s="1"/>
  <c r="B3" i="5"/>
  <c r="B21" i="3"/>
  <c r="B18" i="3"/>
  <c r="B17" i="3"/>
  <c r="B16" i="3"/>
  <c r="Q30" i="4"/>
  <c r="Q31" i="4"/>
  <c r="Q32" i="4"/>
  <c r="Q33" i="4"/>
  <c r="Q34" i="4"/>
  <c r="Q35" i="4"/>
  <c r="Q36" i="4"/>
  <c r="R36" i="4" s="1"/>
  <c r="P33" i="4"/>
  <c r="AZ33" i="4" s="1"/>
  <c r="P34" i="4"/>
  <c r="AZ34" i="4" s="1"/>
  <c r="P35" i="4"/>
  <c r="AZ35" i="4" s="1"/>
  <c r="P36" i="4"/>
  <c r="D5" i="5"/>
  <c r="E5" i="5"/>
  <c r="C5" i="5"/>
  <c r="D4" i="5"/>
  <c r="E4" i="5"/>
  <c r="C4" i="5"/>
  <c r="P32" i="4"/>
  <c r="P31" i="4"/>
  <c r="AZ31" i="4" s="1"/>
  <c r="P30" i="4"/>
  <c r="AN33" i="4" l="1"/>
  <c r="AP33" i="4" s="1"/>
  <c r="AL32" i="4"/>
  <c r="AN32" i="4"/>
  <c r="AL31" i="4"/>
  <c r="AN31" i="4"/>
  <c r="AL34" i="4"/>
  <c r="AN34" i="4"/>
  <c r="AC36" i="4"/>
  <c r="AE36" i="4"/>
  <c r="E9" i="5"/>
  <c r="AC34" i="4"/>
  <c r="AE34" i="4"/>
  <c r="AC33" i="4"/>
  <c r="AE33" i="4"/>
  <c r="AG32" i="4"/>
  <c r="AE32" i="4"/>
  <c r="AC31" i="4"/>
  <c r="AE31" i="4"/>
  <c r="AC30" i="4"/>
  <c r="AE30" i="4"/>
  <c r="AL36" i="4"/>
  <c r="AN36" i="4"/>
  <c r="AP36" i="4" s="1"/>
  <c r="B18" i="5"/>
  <c r="B23" i="5"/>
  <c r="B10" i="6" s="1"/>
  <c r="B19" i="5"/>
  <c r="B17" i="5"/>
  <c r="B9" i="6" s="1"/>
  <c r="AC35" i="4"/>
  <c r="AS33" i="4"/>
  <c r="AS31" i="4"/>
  <c r="AR36" i="4"/>
  <c r="AS34" i="4"/>
  <c r="AQ34" i="4"/>
  <c r="AS35" i="4"/>
  <c r="AQ31" i="4"/>
  <c r="AS36" i="4"/>
  <c r="AQ33" i="4"/>
  <c r="AS32" i="4"/>
  <c r="AQ35" i="4"/>
  <c r="AR30" i="4"/>
  <c r="AR32" i="4"/>
  <c r="AS30" i="4"/>
  <c r="AA31" i="4"/>
  <c r="AA32" i="4"/>
  <c r="AA33" i="4"/>
  <c r="AA34" i="4"/>
  <c r="AA35" i="4"/>
  <c r="Y31" i="4"/>
  <c r="Z36" i="4"/>
  <c r="AA36" i="4"/>
  <c r="AA30" i="4"/>
  <c r="Z30" i="4"/>
  <c r="Y33" i="4"/>
  <c r="Y34" i="4"/>
  <c r="Z32" i="4"/>
  <c r="Y35" i="4"/>
  <c r="AH34" i="4"/>
  <c r="AH35" i="4"/>
  <c r="AI30" i="4"/>
  <c r="AJ30" i="4"/>
  <c r="AI32" i="4"/>
  <c r="AJ31" i="4"/>
  <c r="AJ32" i="4"/>
  <c r="AJ33" i="4"/>
  <c r="AI36" i="4"/>
  <c r="AJ34" i="4"/>
  <c r="AJ35" i="4"/>
  <c r="AH31" i="4"/>
  <c r="AJ36" i="4"/>
  <c r="AH33" i="4"/>
  <c r="B12" i="5"/>
  <c r="B13" i="5"/>
  <c r="B8" i="6" s="1"/>
  <c r="E6" i="5"/>
  <c r="D6" i="5"/>
  <c r="C9" i="5"/>
  <c r="AP30" i="4"/>
  <c r="T34" i="4"/>
  <c r="AG31" i="4"/>
  <c r="AL30" i="4"/>
  <c r="T36" i="4"/>
  <c r="AF35" i="4"/>
  <c r="AG35" i="4" s="1"/>
  <c r="AL33" i="4"/>
  <c r="AG36" i="4"/>
  <c r="AG34" i="4"/>
  <c r="AO35" i="4"/>
  <c r="AP35" i="4" s="1"/>
  <c r="AC32" i="4"/>
  <c r="V33" i="4"/>
  <c r="X33" i="4" s="1"/>
  <c r="T30" i="4"/>
  <c r="AG33" i="4"/>
  <c r="T35" i="4"/>
  <c r="AP34" i="4"/>
  <c r="AP32" i="4"/>
  <c r="C6" i="5"/>
  <c r="AP31" i="4"/>
  <c r="T32" i="4"/>
  <c r="T31" i="4"/>
  <c r="X30" i="4"/>
  <c r="C7" i="5"/>
  <c r="D7" i="5"/>
  <c r="E7" i="5"/>
  <c r="R35" i="4"/>
  <c r="R34" i="4"/>
  <c r="R33" i="4"/>
  <c r="R32" i="4"/>
  <c r="R31" i="4"/>
  <c r="R30" i="4"/>
  <c r="E10" i="5" l="1"/>
  <c r="D22" i="5"/>
  <c r="C3" i="6"/>
  <c r="G3" i="5" s="1"/>
  <c r="D17" i="5"/>
  <c r="D20" i="5"/>
  <c r="D16" i="5"/>
  <c r="D18" i="5"/>
  <c r="D19" i="5"/>
  <c r="D23" i="5"/>
  <c r="E22" i="5"/>
  <c r="E20" i="5"/>
  <c r="E17" i="5"/>
  <c r="E16" i="5"/>
  <c r="E23" i="5"/>
  <c r="E19" i="5"/>
  <c r="E21" i="5"/>
  <c r="E18" i="5"/>
  <c r="D21" i="5"/>
  <c r="C19" i="5"/>
  <c r="C21" i="5"/>
  <c r="C18" i="5"/>
  <c r="C23" i="5"/>
  <c r="C20" i="5"/>
  <c r="C17" i="5"/>
  <c r="C16" i="5"/>
  <c r="C22" i="5"/>
  <c r="E11" i="5"/>
  <c r="C11" i="5"/>
  <c r="D11" i="5"/>
  <c r="C13" i="5"/>
  <c r="C12" i="5"/>
  <c r="D12" i="5"/>
  <c r="D13" i="5"/>
  <c r="E12" i="5"/>
  <c r="E13" i="5"/>
  <c r="D9" i="5"/>
  <c r="C8" i="5"/>
  <c r="AG30" i="4"/>
  <c r="D8" i="5"/>
  <c r="E8" i="5"/>
  <c r="C10" i="5"/>
  <c r="D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Theresa</author>
  </authors>
  <commentList>
    <comment ref="X29" authorId="0" shapeId="0" xr:uid="{39B0ED03-FF36-4006-92B4-5AC4BFA4B724}">
      <text>
        <r>
          <rPr>
            <b/>
            <sz val="9"/>
            <color indexed="81"/>
            <rFont val="Tahoma"/>
            <family val="2"/>
          </rPr>
          <t>Theresa:</t>
        </r>
        <r>
          <rPr>
            <sz val="9"/>
            <color indexed="81"/>
            <rFont val="Tahoma"/>
            <family val="2"/>
          </rPr>
          <t xml:space="preserve">
Explanation – CO₂ Saved Formula:
This formula calculates the monthly CO₂ emissions saved by reducing vehicles in each scenario.
    It multiplies the amount of fuel saved in this scenario ([Fuel Saved (10%)]) by the correct emission factor for each fuel type.
    If the fuel type is Petrol, it uses the emission factor from 'General Info'!$E$11 (e.g., 2.31 kg CO₂/litre).
    If the fuel type is Diesel, it uses the emission factor from 'General Info'!$E$10 (e.g., 2.68 kg CO₂/litre).
    If another fuel type is entered, the formula returns a blank cell.
Formula:
=[@[Fuel Saved (10%)]] * IF([@[Fuel Type]]="Petrol"; 'General Info'!$E$11; IF([@[Fuel Type]]="Diesel";'General Info'!$E$10; ""))
Purpose:
To estimate the total monthly CO₂ savings for each scenario, based on the fuel type and the amount of fuel saved.</t>
        </r>
      </text>
    </comment>
    <comment ref="AZ29" authorId="0" shapeId="0" xr:uid="{E53BD82C-EA21-477A-86B9-0AFD9F2ED581}">
      <text>
        <r>
          <rPr>
            <b/>
            <sz val="9"/>
            <color indexed="81"/>
            <rFont val="Tahoma"/>
            <family val="2"/>
          </rPr>
          <t>Theresa:</t>
        </r>
        <r>
          <rPr>
            <sz val="9"/>
            <color indexed="81"/>
            <rFont val="Tahoma"/>
            <family val="2"/>
          </rPr>
          <t xml:space="preserve">
This formula only applies to owned vehicles. It estimates the monthly depreciation costs saved if a proportional share of this vehicle type is removed from your fleet as a result of vehicle sharing.</t>
        </r>
      </text>
    </comment>
  </commentList>
</comments>
</file>

<file path=xl/sharedStrings.xml><?xml version="1.0" encoding="utf-8"?>
<sst xmlns="http://schemas.openxmlformats.org/spreadsheetml/2006/main" count="305" uniqueCount="260">
  <si>
    <t>Question</t>
  </si>
  <si>
    <t>Help Text</t>
  </si>
  <si>
    <t>Example</t>
  </si>
  <si>
    <t>Your Answer</t>
  </si>
  <si>
    <t>Organisation Name</t>
  </si>
  <si>
    <t>Enter the full name of your organisation</t>
  </si>
  <si>
    <t>Example NGO</t>
  </si>
  <si>
    <t>Who is filling this in?</t>
  </si>
  <si>
    <t>Jane Doe</t>
  </si>
  <si>
    <t>Date of Analysis</t>
  </si>
  <si>
    <t>Today's date (e.g. 28 May 2025)</t>
  </si>
  <si>
    <t>22 May 2025</t>
  </si>
  <si>
    <t>Period Covered</t>
  </si>
  <si>
    <t>Jan 2025 – Dec 2025</t>
  </si>
  <si>
    <t>Currency</t>
  </si>
  <si>
    <t>Currency used for cost inputs (€, $, etc.)</t>
  </si>
  <si>
    <t>€</t>
  </si>
  <si>
    <t>$</t>
  </si>
  <si>
    <t>Petrol price per litre</t>
  </si>
  <si>
    <t>Diesel price per litre</t>
  </si>
  <si>
    <t>Electricity price per kWh (if using EVs)</t>
  </si>
  <si>
    <t>Cost per kWh for electric vehicles (optional)</t>
  </si>
  <si>
    <t>CO₂ per litre (Diesel)</t>
  </si>
  <si>
    <t>CO₂ per litre (Petrol)</t>
  </si>
  <si>
    <t>CO₂ per kWh (Electricity)</t>
  </si>
  <si>
    <t>Average CO₂ per kWh (optional)</t>
  </si>
  <si>
    <t>Total number of drivers</t>
  </si>
  <si>
    <t>% time manager spends on this project</t>
  </si>
  <si>
    <t>% of transport demand to be shared</t>
  </si>
  <si>
    <t>% of shared trips using your vehicles</t>
  </si>
  <si>
    <t xml:space="preserve">Helper columns, not for users </t>
  </si>
  <si>
    <t>All amounts should be entered per vehicle, per month</t>
  </si>
  <si>
    <t>Owned Vehicles</t>
  </si>
  <si>
    <t>10% Scenario</t>
  </si>
  <si>
    <t>25% Scenario</t>
  </si>
  <si>
    <t>User Scenario</t>
  </si>
  <si>
    <t>Vehicle Type</t>
  </si>
  <si>
    <t>Fuel Type</t>
  </si>
  <si>
    <t>Ownership</t>
  </si>
  <si>
    <t>Number of vehicles</t>
  </si>
  <si>
    <t>Avg monthly KM per vehicle</t>
  </si>
  <si>
    <t>Fuel cons. (l/100km)</t>
  </si>
  <si>
    <t>Electric cons. (kWh/100km)</t>
  </si>
  <si>
    <t xml:space="preserve">Monthly Lease/Rent </t>
  </si>
  <si>
    <t xml:space="preserve">Monthly Insurance </t>
  </si>
  <si>
    <t>Avg monthly maintenance</t>
  </si>
  <si>
    <t xml:space="preserve">Purchase Price
</t>
  </si>
  <si>
    <t>Purchase Year</t>
  </si>
  <si>
    <t>Useful Life (years)</t>
  </si>
  <si>
    <t>Monthly depreciation</t>
  </si>
  <si>
    <t>Monthly fuel/energy cost per vehicle</t>
  </si>
  <si>
    <t>Monthly total cost per vehicle</t>
  </si>
  <si>
    <t>Monthly KM reduced (10%)</t>
  </si>
  <si>
    <t>Fuel/Energy costs saved (10%)</t>
  </si>
  <si>
    <t>Maintenance cost saved (10%)</t>
  </si>
  <si>
    <t>Fuel saved (10%)</t>
  </si>
  <si>
    <t>Energy saved (10%)</t>
  </si>
  <si>
    <t>CO2 Saved (10%)</t>
  </si>
  <si>
    <t>Deprecation saved (10%)</t>
  </si>
  <si>
    <t>Lease/rent saved (10%)</t>
  </si>
  <si>
    <t>Insurance saved (10%)</t>
  </si>
  <si>
    <t>Monthly KM reduced (25%)</t>
  </si>
  <si>
    <t>Fuel/Energy costs saved (25%)</t>
  </si>
  <si>
    <t>Maintenance cost saved (25%)</t>
  </si>
  <si>
    <t>Fuel Saved (25%)</t>
  </si>
  <si>
    <t>Energy Saved (25%)</t>
  </si>
  <si>
    <t>CO2 Saved (25%)</t>
  </si>
  <si>
    <t>Deprecation saved (25%)</t>
  </si>
  <si>
    <t>Lease/rent saved (25%)</t>
  </si>
  <si>
    <t>Insurance saved (25%)</t>
  </si>
  <si>
    <t>Monthly KM reduced (50%)</t>
  </si>
  <si>
    <t>Fuel/Energy costs saved (50%)</t>
  </si>
  <si>
    <t>Maintenance cost saved (50%)</t>
  </si>
  <si>
    <t>Fuel Saved (50%)</t>
  </si>
  <si>
    <t>Energy Saved (50%)</t>
  </si>
  <si>
    <t>CO2 Saved (50%)</t>
  </si>
  <si>
    <t>Deprecation saved (50%)</t>
  </si>
  <si>
    <t>Lease/rent saved (50%)</t>
  </si>
  <si>
    <t>Insurance saved (50%)</t>
  </si>
  <si>
    <t>Monthly KM Reduced (User %)</t>
  </si>
  <si>
    <t>Fuel Saved (User %)</t>
  </si>
  <si>
    <t>Energy Saved (User %)</t>
  </si>
  <si>
    <t>Fuel/Energy Cost Saved (User %)</t>
  </si>
  <si>
    <t>CO2 Saved (User %)</t>
  </si>
  <si>
    <t>Maintenance costs saved (user %)</t>
  </si>
  <si>
    <t>Deprecation saved (user %)</t>
  </si>
  <si>
    <t>Lease/rent saved (user%)</t>
  </si>
  <si>
    <t>Insurance saved (User%)</t>
  </si>
  <si>
    <t>Light vehicle (Sedan/City vehicle)</t>
  </si>
  <si>
    <t>Petrol</t>
  </si>
  <si>
    <t>Rented</t>
  </si>
  <si>
    <t>4x4/SUV</t>
  </si>
  <si>
    <t>Diesel</t>
  </si>
  <si>
    <t>Owned</t>
  </si>
  <si>
    <t>Minibus</t>
  </si>
  <si>
    <t>Electric</t>
  </si>
  <si>
    <t>Estimated Fleet Reduction</t>
  </si>
  <si>
    <t>Current Nr of vehicles</t>
  </si>
  <si>
    <t>Vehicles Reduced</t>
  </si>
  <si>
    <t>Km Reduced (monthly)</t>
  </si>
  <si>
    <t>CO₂ Saved (monthly)</t>
  </si>
  <si>
    <t>Variable Cost Savings</t>
  </si>
  <si>
    <t>Fixed Cost Savings</t>
  </si>
  <si>
    <t>Total Cost Savings</t>
  </si>
  <si>
    <t>One-Time Investment</t>
  </si>
  <si>
    <t>Monthly Recurring Costs</t>
  </si>
  <si>
    <t xml:space="preserve">MonthlyNetSavings </t>
  </si>
  <si>
    <t>Net Savings (Year 1)</t>
  </si>
  <si>
    <t>Net Savings - WITHOUT reducing vehicles (Year 1)</t>
  </si>
  <si>
    <t>Net Savings Year 2 ( Cumulative)</t>
  </si>
  <si>
    <t>Net Savings - WITHOUT reducing vehicles (Year 2)</t>
  </si>
  <si>
    <t>Net Savings Year 3 (Cumulative)</t>
  </si>
  <si>
    <t>Net Savings - WITHOUT reducing vehicles (Year 3)</t>
  </si>
  <si>
    <t>Payback/ROI (months)</t>
  </si>
  <si>
    <t>B14</t>
  </si>
  <si>
    <t>B15</t>
  </si>
  <si>
    <t>Social investment required for kick-off phase</t>
  </si>
  <si>
    <t>CHANGE MANAGEMENT COSTS</t>
  </si>
  <si>
    <t>Organisation change readiness (at country level)</t>
  </si>
  <si>
    <t>1-Prone to change/ agile</t>
  </si>
  <si>
    <t>2-Medium</t>
  </si>
  <si>
    <t>3-Conservative</t>
  </si>
  <si>
    <t>Kick-off phase duration assumption:</t>
  </si>
  <si>
    <t>3-6 months ?</t>
  </si>
  <si>
    <t>% FTE (full time equivalent)</t>
  </si>
  <si>
    <t>Assumed tasks</t>
  </si>
  <si>
    <t>Logistics coordinator</t>
  </si>
  <si>
    <t>Participation in project meetings,</t>
  </si>
  <si>
    <t>Provision of inputs/ data,</t>
  </si>
  <si>
    <t>Review of current fleet management tactics/ strategy (running a right sizing exercise…),</t>
  </si>
  <si>
    <t>Modification of job descriptions of logisticians to embed new responsibilities</t>
  </si>
  <si>
    <t>Modifications os manuals, guidances, policies to embed sharing practices</t>
  </si>
  <si>
    <t>Logistics officer</t>
  </si>
  <si>
    <t>Being trained to new taks, ride-sharing related</t>
  </si>
  <si>
    <t>Engage with drivers, sensitize team about project modalities</t>
  </si>
  <si>
    <t>Engagement with other participating agencies log officer to coordinate</t>
  </si>
  <si>
    <t>Finance / HR</t>
  </si>
  <si>
    <t>Participation in project meetings</t>
  </si>
  <si>
    <t>Processing reimbursment requests received/ emitted,</t>
  </si>
  <si>
    <t>Tracking payments and reception,</t>
  </si>
  <si>
    <t>Doing the maths around what costs to cut to render savngs real…,</t>
  </si>
  <si>
    <t>Modification of job descriptions?</t>
  </si>
  <si>
    <t>Country director</t>
  </si>
  <si>
    <t>Availability to be presented the project</t>
  </si>
  <si>
    <t>Mobilisation of team in Senior Management Team meetings</t>
  </si>
  <si>
    <t>Sensitization sessions/ decisions making towards staff</t>
  </si>
  <si>
    <t>Security Focal Points</t>
  </si>
  <si>
    <t>Identify risks and opportunties for safety and security management</t>
  </si>
  <si>
    <t>Propose solutions, contribute to making the project happen</t>
  </si>
  <si>
    <t>Metric</t>
  </si>
  <si>
    <t>Result</t>
  </si>
  <si>
    <t>Fleet reduction %</t>
  </si>
  <si>
    <t>Vehicles reduced</t>
  </si>
  <si>
    <t>Monthly km reduced</t>
  </si>
  <si>
    <t>Fuel savings (litres)</t>
  </si>
  <si>
    <t>CO2 saved (kg)</t>
  </si>
  <si>
    <t>Total cost savings (€)</t>
  </si>
  <si>
    <t>Net savings (€)</t>
  </si>
  <si>
    <t>Payback period (months)</t>
  </si>
  <si>
    <t>Enter your name</t>
  </si>
  <si>
    <t>Specify the period this analysis is for (e.g. Jan 2025 – Dec 2025).</t>
  </si>
  <si>
    <t>Average cost per litre of petrol in your country</t>
  </si>
  <si>
    <t>Average cost per litre of diesel in your country</t>
  </si>
  <si>
    <t>Default emission factor for diesel; only change if you have more accurate country-specific data.</t>
  </si>
  <si>
    <t>Default emission factor for petrol; only change if you have more accurate country-specific data.</t>
  </si>
  <si>
    <t>(Optional) One-time investment required to join or enable the ride sharing scheme (e.g. booking system, software).</t>
  </si>
  <si>
    <t>Monthly salary + overhead of 1 driver.</t>
  </si>
  <si>
    <t>Monthly salary + overhead of a fleet or project manager (e.g. phone, laptop, per diem).</t>
  </si>
  <si>
    <t>Total number of drivers in your organisation, used to estimate driver-related savings.</t>
  </si>
  <si>
    <t>Percentage of time the manager will spend on this project. Example: 10 = ~4 hours/week based on a 40-hour work week.</t>
  </si>
  <si>
    <t>(Optional) Monthly cost of administrative, HR, or logistics support for the scheme.</t>
  </si>
  <si>
    <t>What percentage of your current transport demand do you expect to shift to ride sharing?</t>
  </si>
  <si>
    <t>What percentage of shared trips will be completed using your organisation’s own vehicles (vs. external vehicles)?</t>
  </si>
  <si>
    <t>Formula</t>
  </si>
  <si>
    <t>Explanation</t>
  </si>
  <si>
    <t>This formula calculates how much value an owned vehicle loses per month over its useful life. It only applies to owned vehicles and ensures that depreciation is not calculated for rented ones.</t>
  </si>
  <si>
    <t>IF([@Ownership]="Owned"; ([@[Purchase Price]] - [@[Residual Value]]) / [@[Useful Life (years)]] / 12; "")</t>
  </si>
  <si>
    <t>IF([@Fuel Type]="Diesel";
    ([@[Avg monthly KM per vehicle]] / 100) * [@[Fuel cons. (l/100km)]] * 'General Info'!Diesel price per litre;
IF([@Fuel Type]="Petrol";
    ([@[Avg monthly KM per vehicle]] / 100) * [@[Fuel cons. (l/100km)]] * 'General Info'!Petrol price per litre;
IF([@Fuel Type]="Electric";
    ([@[Avg monthly KM per vehicle]] / 100) * [@[Electric cons. (kWh/100km)]] * 'General Info'!Electricity price per kWh;
"")))</t>
  </si>
  <si>
    <t>This formula calculates the monthly energy cost per vehicle by taking the average number of kilometres driven per vehicle each month, dividing it by 100 to align with the consumption unit (litres or kWh per 100 km), and then multiplying this by the vehicle’s specific fuel or energy consumption. The result is then multiplied by the applicable fuel or electricity price from the General Info sheet, depending on whether the vehicle uses diesel, petrol, or electricity.</t>
  </si>
  <si>
    <t>IF([@Ownership]="Owned";[@[Monthly Insurance ]]+[@[Avg monthly maintenance]]+[@[Monthly depreciation]]+[@[Monthly fuel/energy cost per vehicle]];[@[Monthly Insurance ]]+[@[Avg monthly maintenance]]+[@[Monthly Lease/Rent ]]+[@[Monthly fuel/energy cost per vehicle]])</t>
  </si>
  <si>
    <t>This formula calculates the total monthly cost per vehicle by first checking whether the vehicle is owned or rented. If the vehicle is owned, the total cost includes monthly insurance, average monthly maintenance, monthly depreciation, and the monthly fuel or energy cost. If the vehicle is rented, the formula instead includes monthly insurance, average monthly maintenance, monthly lease or rent, and the monthly fuel or energy cost. This ensures that only the relevant cost components are included based on the vehicle's ownership status.</t>
  </si>
  <si>
    <t>This formula estimates the monthly maintenance cost savings per vehicle when 10% of transport demand shifts away from your fleet. It takes 10% of the average monthly maintenance cost per vehicle and adjusts it based on the percentage of shared trips not using your own vehicles. The adjustment factor comes from the General Info sheet under “% of shared trips using your vehicles.” This ensures that only the share of avoided maintenance costs due to reduced usage of your own fleet is included in the calculation.</t>
  </si>
  <si>
    <t>IF(Ownership="Rented";('ROI &amp; Scenario Analysis'!$C$4*[@[Number of vehicles]])*[@[Monthly Lease/Rent ]];"")</t>
  </si>
  <si>
    <t>IF(Ownership="Owned";('ROI &amp; Scenario Analysis'!$C$4*[@[Number of vehicles]])*[@[Monthly depreciation]];"")</t>
  </si>
  <si>
    <t>Field</t>
  </si>
  <si>
    <t>ROI &amp; Scenario Analysis'!$C$4 * [@[Monthly Insurance ]]</t>
  </si>
  <si>
    <t>Monthly KM reduced (10%, 25%, 50%)</t>
  </si>
  <si>
    <t>Fuel/Energy costs saved (10%, 25%, 50%)</t>
  </si>
  <si>
    <t>Maintenance cost saved (10%, 25%, 50%)</t>
  </si>
  <si>
    <t>[@[Avg monthly maintenance]] * X * (1 - 'General Info'!$E$23)</t>
  </si>
  <si>
    <t>Fuel saved (10%, 25%, 50%)</t>
  </si>
  <si>
    <t>IF(OR([@[Fuel Type]]"Petrol"; [@[Fuel Type]]"Diesel"); [@[Monthly KM reduced (X%)]] * ([@[Fuel cons. (l/100km)]] / 100); "")</t>
  </si>
  <si>
    <t>Energy saved (10%, 25%, 50%)</t>
  </si>
  <si>
    <t>IF([@[Fuel Type]]"Electric"; [@[Monthly KM reduced (X%)]] * ([@[Electric cons. (kWh/100km)]] / 100); "")</t>
  </si>
  <si>
    <t>CO₂ saved (10%, 25%, 50%)</t>
  </si>
  <si>
    <t>Depreciation saved (10%, 25%, 50%)</t>
  </si>
  <si>
    <t>Lease/Rent saved (10%, 25%, 50%)</t>
  </si>
  <si>
    <t>Insurance saved (10%, 25%, 50%)</t>
  </si>
  <si>
    <t>IF([@[Fuel Type]]="Electric",
   ([@[Monthly KM reduced (X%)]] * ([@[Electric cons. (kWh/100km)]] / 100)) * 'General Info'!$E$12,
   ([@[Monthly KM reduced (X%)]] * ([@[Fuel cons. (l/100km)]] / 100)) *
      IF([@[Fuel Type]]="Petrol", 'General Info'!$E$10, 'General Info'!$E$11)
)</t>
  </si>
  <si>
    <t>This formula estimates the reduction in kilometres driven by your fleet when a percentage (10%, 25%, or 50%) of your transport demand shifts to a ride sharing scheme. It multiplies the number of vehicles by the average kilometres driven per vehicle and applies the chosen shift percentage (X). It then adjusts this based on the percentage of shared trips not using your own vehicles, a value specified in the General Info sheet, to reflect only the reduction attributable to external sharing.</t>
  </si>
  <si>
    <t>This formula calculates the amount of fuel or energy cost saved when 10%, 25%, or 50% of your transport demand shifts away from your fleet. The calculation structure is identical for each scenario, only the percentage (X) changes, impacting the reduced distance and subsequent savings.</t>
  </si>
  <si>
    <t>This formula calculates the number of litres of fuel saved per vehicle when a percentage (10%, 25%, or 50%) of transport demand shifts to a ride sharing scheme. It applies only to vehicles that use petrol or diesel. It multiplies the monthly kilometres reduced (X%) by the vehicle’s fuel consumption per 100 km. If the vehicle is electric, the formula returns a blank. This helps quantify the environmental impact of reduced usage of internal combustion engine vehicles.</t>
  </si>
  <si>
    <t>This formula calculates the number of kilowatt-hours (kWh) of electricity saved per electric vehicle when a percentage (10%, 25%, or 50%) of transport demand is shifted away. It multiplies the monthly kilometres reduced by the vehicle’s electric consumption per 100 km. The formula applies only to electric vehicles and returns a blank for petrol or diesel, ensuring accurate energy savings are captured.</t>
  </si>
  <si>
    <t>This formula estimates the lease or rent cost savings if your fleet size is reduced due to a shift in transport demand. It applies only to vehicles marked as “Rented.” The calculation multiplies the number of rented vehicles by the fleet reduction percentage (from the 'ROI &amp; Scenario Analysis' sheet) and then by the monthly lease or rent cost. Fleet reduction rates used (6%, 15%, 30%) are assumptions from Fleet Forum’s experience with ride sharing schemes.</t>
  </si>
  <si>
    <t>This formula calculates the insurance cost savings from reducing fleet size under different transport demand shift scenarios. It multiplies the estimated fleet reduction (from the 'ROI &amp; Scenario Analysis' sheet) by the monthly insurance cost per vehicle. This applies to both owned and rented vehicles. The reduction rates used are based on Fleet Forum’s insights: 6% for 10%, 15% for 25%, and 30% for 50% shift scenarios.</t>
  </si>
  <si>
    <t>IF([@[Fuel Type]]="Petrol";
   [@[Fuel saved (X%)]] * 'General Info'!$E$14;
IF([@[Fuel Type]]="Diesel";
   [@[Fuel saved (X%)]] * 'General Info'!$E$13;
IF([@[Fuel Type]]="Electric";
   [@[Energy saved (X%)]] * 'General Info'!$E$15;
"")))</t>
  </si>
  <si>
    <r>
      <t>([@[Number of vehicles]] * [@[Avg monthly KM per vehicle]] * X)*(1 - 'General Info'!$E$23)</t>
    </r>
    <r>
      <rPr>
        <i/>
        <sz val="11"/>
        <color theme="1"/>
        <rFont val="Calibri"/>
        <family val="2"/>
        <scheme val="minor"/>
      </rPr>
      <t>X  0.10 for 10%, 0.25 for 25%, and 0.50 for 50%</t>
    </r>
  </si>
  <si>
    <t>This formula estimates the percentage reduction in your fleet size that can be achieved based on the percentage of your transport demand expected to be shifted to ride sharing. The input comes from the "General Info" sheet (cell E22), where users specify the share of their transport demand they expect to shift , Or the static columns of 10, 25 and 50%. This input is then multiplied by 0.6 — a factor based on Fleet Forum’s experience indicating that, on average, a 10% shift in demand results in approximately a 6% reduction in fleet size. This assumption helps translate transport demand shifts into practical implications for vehicle fleet planning.</t>
  </si>
  <si>
    <t>% transport demand shift to rise ahring *60%</t>
  </si>
  <si>
    <t>SUM(Table1[Number of vehicles])</t>
  </si>
  <si>
    <t>This formula calculates the total number of vehicles currently in your fleet by summing all values in the column Number of vehicles from the main data table (named Table1). Each row in this column represents the number of vehicles of a specific type or category. By adding them together, you get a comprehensive count of all vehicles across your fleet. This total serves as a reference point for determining potential fleet reductions and cost savings in the ROI and scenario analysis.</t>
  </si>
  <si>
    <t>Current Number of Vehicles * Estimated Fleet Reduction Percentage</t>
  </si>
  <si>
    <t>This formula calculates how many vehicles can potentially be removed from your fleet as a result of shifting a portion of your transport demand to ride sharing. It multiplies the current number of vehicles (B5) by the estimated fleet reduction percentage (B4), which is based on the percentage of transport demand shared (input in the General Info sheet). This gives an estimate of how many vehicles are no longer needed if the shared mobility scenario is implemented.</t>
  </si>
  <si>
    <t>50% Scenario</t>
  </si>
  <si>
    <t>This formula calculates a range for the estimated total monthly fuel savings in litres across all petrol and diesel vehicles. It sums the values from the “Fuel saved” column in the fleet data table, which is based on the percentage of transport demand shifted to ride sharing. To reflect potential variation in actual savings, the total is multiplied by 0.8 to create a conservative lower estimate, while the full total is shown as the upper estimate. The result is displayed as a range (e.g., “240 – 300 litres”), helping users interpret the savings as an estimate rather than a fixed outcome. All numbers are rounded to whole litres for readability.</t>
  </si>
  <si>
    <t>TEXT(SUM(Table1[Fuel saved (X%)])*0,8; "0") &amp; " – " &amp; TEXT(SUM(Table1[Fuel saved (X%)]); "0") &amp; " litres"</t>
  </si>
  <si>
    <t>SUM(Table1[Monthly KM Reduced (X %)])</t>
  </si>
  <si>
    <t>This formula calculates the total number of kilometres that will no longer be driven by your fleet each month when a portion of your transport demand shifts to ride sharing. It sums the values from the column Monthly KM Reduced (X %) in your main data table (Table1), where X represents the selected shift percentage (e.g., 10%, 25%, or 50%). These values already factor in both the shift percentage and the share of trips not conducted with your own vehicles, based on information provided in the General Info sheet. The result reflects the total monthly driving distance avoided by your fleet under the selected scenario.</t>
  </si>
  <si>
    <t>Fuel saved in litres (monthly)</t>
  </si>
  <si>
    <t>Energy saved (monthly)</t>
  </si>
  <si>
    <t>This formula calculates the estimated monthly energy savings (in kilowatt-hours) resulting from a shift in transport demand to ride sharing. It sums all values from the Energy Saved (X %) column in your main data table (Table1), where X represents the selected shift percentage (such as 10%, 25%, or 50%). The result is displayed as a range: the lower bound assumes that 80% of the calculated savings are realised, while the upper bound reflects the full potential savings. The final output is presented as a text string with the suffix "kWh" to clearly indicate the unit of measurement.</t>
  </si>
  <si>
    <t>TEXT(SUM(Table1[Energy Saved (User %)])*0,8; "0") &amp; " – " &amp; TEXT(SUM(Table1[Energy Saved (User %)]); "0") &amp; " kWh"</t>
  </si>
  <si>
    <t>TEXT(SUM(Table1[CO2 Saved (User %)])*0,8; "0") &amp; " – " &amp; TEXT(SUM(Table1[CO2 Saved (User %)]); "0") &amp; " kg"</t>
  </si>
  <si>
    <t>This formula calculates the estimated monthly reduction in CO₂ emissions (in kilograms) resulting from a portion of transport demand being shifted to ride sharing. It adds up the values from the CO₂ Saved (X %) column in your main data table (Table1), where X represents the selected demand shift percentage. The result is displayed as a range: the lower bound reflects a conservative estimate assuming 80% of the potential CO₂ savings are realised, while the upper bound represents the full possible savings. The result is shown as a formatted text string with "kg" to clearly indicate the unit.</t>
  </si>
  <si>
    <t>General Info'!$E$9 &amp; " " &amp; TEXT((SUM(Table1[Fuel/Energy Cost Saved (User %)]) + SUM(Table1[Maintenance costs saved (user %)]))*0,8; "#.##0") &amp; " – " &amp; 'General Info'!$E$9 &amp; " " &amp; TEXT((SUM(Table1[Fuel/Energy Cost Saved (User %)]) + SUM(Table1[Maintenance costs saved (user %)])); "#.##0")</t>
  </si>
  <si>
    <t>General Info'!$E$9 &amp; " " &amp; TEXT((SUM(Table1[Monthly depreciation]) * B6 + SUM(Table1[Monthly Lease/Rent ]) * B6 + SUM(Table1[[Monthly Insurance ]]) * B6) * 0,8; "#.##0") &amp; " – " &amp; 'General Info'!$E$9 &amp; " " &amp; TEXT((SUM(Table1[Monthly depreciation]) * B6 + SUM(Table1[Monthly Lease/Rent ]) * B6 + SUM(Table1[[Monthly Insurance ]]) * B6); "#.##0")</t>
  </si>
  <si>
    <t>General Info'!$E$9 &amp; " " &amp;
TEXT(
(
  SUM(Table1[Fuel/Energy Cost Saved (User %)])
  + SUM(Table1[Maintenance costs saved (user %)])
  + SUM(Table1[Monthly depreciation]) * B6
  + SUM(Table1[Monthly Lease/Rent ]) * B6
  + SUM(Table1[[Monthly Insurance ]]) * B6
) * 0,8; "#.##0"
)
&amp; " – " &amp;
'General Info'!$E$9 &amp; " " &amp;
TEXT(
(
  SUM(Table1[Fuel/Energy Cost Saved (User %)])
  + SUM(Table1[Maintenance costs saved (user %)])
  + SUM(Table1[Monthly depreciation]) * B6
  + SUM(Table1[Monthly Lease/Rent ]) * B6
  + SUM(Table1[[Monthly Insurance ]]) * B6
); "#.##0"
)</t>
  </si>
  <si>
    <t>General Info'!$E$9 &amp; " " &amp; 'General Info'!$E$16</t>
  </si>
  <si>
    <t>Variable Cost Savings (monthly)</t>
  </si>
  <si>
    <t>Fixed Cost Savings (motnhly)</t>
  </si>
  <si>
    <t>Total Cost Savings (monthly)</t>
  </si>
  <si>
    <t xml:space="preserve"> 'General Info'!E9 &amp; " " &amp; TEXT('General Info'!E21+('General Info'!E18*'General Info'!E20); "#.##0")</t>
  </si>
  <si>
    <t>General Info'!$E$9 &amp; " " &amp; TEXT((SUM(Table1[Fuel/Energy Cost Saved (User %)])
   + SUM(Table1[Maintenance costs saved (user %)]))
   - B46; "#.##0")</t>
  </si>
  <si>
    <t>General Info'!$E$9 &amp; " " &amp; TEXT(
    (SUM(Table1[Fuel/Energy Cost Saved (User %)])
    + SUM(Table1[Maintenance costs saved (user %)])) * 12
    - (B46 * 12)
    - B45;
"#.##0")</t>
  </si>
  <si>
    <t>General Info'!$E$9 &amp; " " &amp; TEXT(
    (SUM(Table1[Fuel/Energy Cost Saved (User %)])
    + SUM(Table1[Maintenance costs saved (user %)])) * 24
    - (B46 * 24)
    - B45;
"#.##0")</t>
  </si>
  <si>
    <t>General Info'!$E$9 &amp; " " &amp; TEXT(
    (SUM(Table1[Fuel/Energy Cost Saved (User %)])
    + SUM(Table1[Maintenance costs saved (user %)])) * 36
    - (B46 * 36)
    - B45;
"#.##0")</t>
  </si>
  <si>
    <t>This formula calculates the cumulative net financial benefit over two years when the fleet size remains unchanged. It sums the monthly savings on fuel/energy and maintenance costs from the main data table (Table1) and multiplies the result by 24 to represent two years of savings. These are the only savings considered because fixed costs (depreciation, lease, insurance) remain unaffected if the number of vehicles does not change. From this total, the formula subtracts the recurring project costs (cell B46), multiplied by 24 months, and the one-time investment cost (cell B45, from 'General Info'!E16). The resulting figure reflects the total cost savings from improved operational efficiency without reducing the size of the fleet, formatted using the currency symbol defined in 'General Info'!E9.</t>
  </si>
  <si>
    <t>This formula estimates the total net savings over a three-year period, assuming the organisation does not reduce the size of its vehicle fleet. It calculates the total of monthly fuel/energy and maintenance savings from Table1, multiplies by 36 months to represent three years, and then subtracts the monthly recurring project costs (cell B46) over the same period. Additionally, it subtracts the one-time investment cost (cell B45). Fixed cost savings are excluded, as the fleet size remains constant. The final output provides a clear picture of the long-term savings achievable through behavioural and operational changes alone, expressed in the currency pulled from 'General Info'!E9.</t>
  </si>
  <si>
    <t>This formula calculates the number of months required to recover the initial one-time investment based on the monthly net savings generated from the project. It first sums all monthly savings from the main data table (Table1), including fuel/energy savings, maintenance cost savings, depreciation savings (for owned vehicles), lease/rent savings (for rented vehicles), and insurance savings. It then subtracts the monthly recurring project costs (B46, which combines HR/support costs and manager time from the General Info sheet). If the resulting monthly savings are greater than zero, the formula divides the one-time project cost (B45) by these net monthly savings to determine how many months it will take to break even. The result is rounded up to the nearest whole month. If the monthly savings do not exceed the recurring costs, the formula returns "No payback", indicating that the investment cannot be recovered under the current assumptions.</t>
  </si>
  <si>
    <t>General Info'!$E$9 &amp; " " &amp; TEXT((
    SUM(Table1[Fuel/Energy Cost Saved (User %)])
  + SUM(Table1[Maintenance costs saved (user %)])
  + SUM(Table1[Depreciation saved (user %)])
  + SUM(Table1[Lease/rent saved (user%)])
  + SUM(Table1[Insurance saved (User%)])
) * 12
 - (B46*12)
 -B45; "#.##0")</t>
  </si>
  <si>
    <t>General Info'!$E$9 &amp; " " &amp; TEXT((
    SUM(Table1[Fuel/Energy Cost Saved (User %)])
  + SUM(Table1[Maintenance costs saved (user %)])
  + SUM(Table1[Depreciation saved (user %)])
  + SUM(Table1[Lease/rent saved (user%)])
  + SUM(Table1[Insurance saved (User%)])
) * 24
 - (B46*24)
 -B45; "#.##0")</t>
  </si>
  <si>
    <t>General Info'!$E$9 &amp; " " &amp; TEXT((
    SUM(Table1[Fuel/Energy Cost Saved (User %)])
  + SUM(Table1[Maintenance costs saved (user %)])
  + SUM(Table1[Depreciation saved (user %)])
  + SUM(Table1[Lease/rent saved (user%)])
  + SUM(Table1[Insurance saved (User%)])
) * 36
 - (B46*36)
 -B45; "#.##0")</t>
  </si>
  <si>
    <t>IF(
    (SUM(Table1[Fuel/Energy Cost Saved (User %)])
    + SUM(Table1[Maintenance costs saved (user %)])
    + SUM(Table1[Depreciation saved (user %)])
    + SUM(Table1[Lease/rent saved (user%)])
    + SUM(Table1[Insurance saved (User%)])
    - B46) &gt; 0;
    ROUNDUP(
        B45 /
        (SUM(Table1[Fuel/Energy Cost Saved (User %)])
        + SUM(Table1[Maintenance costs saved (user %)])
        + SUM(Table1[Depreciation saved (user %)])
        + SUM(Table1[Lease/rent saved (user%)])
        + SUM(Table1[Insurance saved (User%)])
        - B46);
    0);
    "No payback"
)</t>
  </si>
  <si>
    <t>Per vehicle monthly calculations</t>
  </si>
  <si>
    <t>Ride sharing scenario savings</t>
  </si>
  <si>
    <t>This formula calculates the estimated monthly savings on variable costs, specifically fuel/energy and maintenance. It adds the total savings from the Fuel/Energy Cost Saved (User %) and Maintenance Costs Saved (User %) columns. The result is displayed as a range: a conservative lower estimate (80% of calculated savings) and a full savings estimate.</t>
  </si>
  <si>
    <t>This formula estimates the monthly savings on fixed costs: depreciation, lease or rent, and insurance. Each per-vehicle monthly cost is multiplied by the number of vehicles that can be reduced, based on the estimated fleet reduction. The result is presented as a range (80% to 100% of calculated savings).</t>
  </si>
  <si>
    <t>This formula calculates the total monthly cost savings by summing both variable and fixed savings. It includes:
    Fuel/Energy and Maintenance savings
    Depreciation, Lease/Rent, and Insurance savings, based on vehicles reduced
The total is displayed as a range (80% to 100%) to reflect variability in real-world savings.</t>
  </si>
  <si>
    <t>Calculates the ongoing monthly costs for running the ride sharing initiative. It includes HR/support costs and the proportional time cost of the manager overseeing the project (based on % input in the General Info sheet).</t>
  </si>
  <si>
    <t>Calculates how much the organisation saves each month after deducting recurring costs. It takes total variable cost savings (fuel/energy + maintenance) and subtracts monthly recurring project costs.</t>
  </si>
  <si>
    <t>Same calculation structure as Year 1, but extended over 24 months instead of 12.
It includes:
    24 months of cost savings
    24 months of recurring project costs
    The one-time investment is still only subtracted once</t>
  </si>
  <si>
    <t>Same calculation structure as Year 1, but extended over 36 months instead of 12.
It includes:
    36 months of cost savings
    36 months of recurring project costs
    The one-time investment is still only subtracted once</t>
  </si>
  <si>
    <t>Per vehicle monthly scenario calculations</t>
  </si>
  <si>
    <t>admin@fleetforum.org</t>
  </si>
  <si>
    <t>Example Organisation</t>
  </si>
  <si>
    <t>Estimated Residual Value</t>
  </si>
  <si>
    <t>This formula estimates the depreciation costs that can be saved if your fleet size is reduced due to a shift in transport demand. It applies only to vehicles marked as “Owned.” The number of vehicles is multiplied by the estimated fleet reduction percentage from the 'ROI &amp; Scenario Analysis' sheet (e.g. 6% for 10%, 15% for 25%, 30% for 50%), then by the monthly depreciation. These percentages are based on Fleet Forum’s assumptions drawn from experience with organisations implementing ride sharing.</t>
  </si>
  <si>
    <t>Displays the estimated one-time investment required to implement the ride sharing project. The value is pulled from the General Info sheet (cell E16) and serves as a fixed input for ROI calculations.</t>
  </si>
  <si>
    <t>This formula calculates the net financial benefit of the ride sharing initiative during the first year. It works by:
    1.Summing all monthly cost savings, including:
        - Fuel/Energy
        - Maintenance
        - Depreciation
        - Lease/Rent
        - Insurance
    2.Multiplying the total monthly savings by 12 to get the annual savings.
    3. Subtracting the one-time investment cost (from the General Info sheet).
    4.Subtracting annualised recurring costs, which include:
        - Monthly HR/support costs
        - A portion of the manager’s monthly salary, based on their time spent on the project
        These are summed in cell B46, and multiplied by 12 to reflect a full year of ongoing costs.
The result represents the total net savings your organisation can expect in the first year of implementing the ride sharing initiative, after accounting for both upfront and operational costs.</t>
  </si>
  <si>
    <t>This formula calculates the net savings over the first year assuming that the number of vehicles in your fleet remains unchanged — in other words, it estimates the financial benefit of reduced usage without reducing the fleet size.
It starts by summing the monthly fuel/energy and maintenance cost savings from the main data table (Table1) and multiplies the total by 12 to reflect the full year. These are the only savings considered here because fixed costs such as depreciation, lease/rent, and insurance are not impacted if the fleet size stays the same.
From this annual savings amount, it subtracts the monthly recurring project costs (stored in cell B46, which includes HR/support and management time from the General Info sheet), multiplied by 12 to cover the full year.
It also subtracts the one-time project investment (stored in B45, equal to 'General Info'!E16).
The result shows the realistic financial impact of implementing the ride sharing initiative without scaling down the fleet. The output is formatted as a currency using the symbol specified in 'General Info'!E9.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</si>
</sst>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3" formatCode="_ * #,##0.00_ ;_ * \-#,##0.00_ ;_ * &quot;-&quot;??_ ;_ @_ "/>
  </numFmts>
  <fonts count="21"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rgb="FFFF0000"/>
      <name val="Calibri"/>
      <family val="2"/>
      <scheme val="minor"/>
    </font>
    <font>
      <b/>
      <sz val="11"/>
      <color rgb="FFFA7D00"/>
      <name val="Calibri"/>
      <family val="2"/>
      <scheme val="minor"/>
    </font>
    <font>
      <i/>
      <sz val="11"/>
      <color rgb="FF7F7F7F"/>
      <name val="Calibri"/>
      <family val="2"/>
      <scheme val="minor"/>
    </font>
    <font>
      <sz val="8"/>
      <name val="Calibri"/>
      <family val="2"/>
      <scheme val="minor"/>
    </font>
    <font>
      <sz val="11"/>
      <color rgb="FF000000"/>
      <name val="Aptos Narrow"/>
      <family val="2"/>
    </font>
    <font>
      <b/>
      <sz val="16"/>
      <color rgb="FF000000"/>
      <name val="Aptos Narrow"/>
      <family val="2"/>
    </font>
    <font>
      <b/>
      <sz val="11"/>
      <color rgb="FF000000"/>
      <name val="Aptos Narrow"/>
      <family val="2"/>
    </font>
    <font>
      <sz val="11"/>
      <color rgb="FFFF0000"/>
      <name val="Aptos Narrow"/>
      <family val="2"/>
    </font>
    <font>
      <b/>
      <sz val="12"/>
      <color theme="0"/>
      <name val="Calibri"/>
      <family val="2"/>
      <scheme val="minor"/>
    </font>
    <font>
      <b/>
      <sz val="11"/>
      <color theme="4"/>
      <name val="Calibri"/>
      <family val="2"/>
      <scheme val="minor"/>
    </font>
    <font>
      <i/>
      <sz val="11"/>
      <color theme="4"/>
      <name val="Calibri"/>
      <family val="2"/>
      <scheme val="minor"/>
    </font>
    <font>
      <b/>
      <sz val="13"/>
      <color theme="3"/>
      <name val="Calibri"/>
      <family val="2"/>
      <scheme val="minor"/>
    </font>
    <font>
      <u/>
      <sz val="11"/>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4"/>
      </patternFill>
    </fill>
    <fill>
      <patternFill patternType="solid">
        <fgColor theme="5" tint="0.79998168889431442"/>
        <bgColor indexed="65"/>
      </patternFill>
    </fill>
    <fill>
      <patternFill patternType="solid">
        <fgColor rgb="FFF2F2F2"/>
      </patternFill>
    </fill>
    <fill>
      <patternFill patternType="solid">
        <fgColor theme="4" tint="0.79998168889431442"/>
        <bgColor indexed="65"/>
      </patternFill>
    </fill>
    <fill>
      <patternFill patternType="solid">
        <fgColor theme="6"/>
      </patternFill>
    </fill>
    <fill>
      <patternFill patternType="solid">
        <fgColor theme="6" tint="0.79998168889431442"/>
        <bgColor indexed="65"/>
      </patternFill>
    </fill>
    <fill>
      <patternFill patternType="solid">
        <fgColor theme="7" tint="0.79998168889431442"/>
        <bgColor indexed="65"/>
      </patternFill>
    </fill>
    <fill>
      <patternFill patternType="solid">
        <fgColor theme="7"/>
        <bgColor indexed="64"/>
      </patternFill>
    </fill>
    <fill>
      <patternFill patternType="solid">
        <fgColor theme="8"/>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rgb="FF000000"/>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right/>
      <top/>
      <bottom style="thick">
        <color theme="4" tint="0.499984740745262"/>
      </bottom>
      <diagonal/>
    </border>
  </borders>
  <cellStyleXfs count="11">
    <xf numFmtId="0" fontId="0" fillId="0" borderId="0"/>
    <xf numFmtId="0" fontId="2" fillId="2" borderId="0" applyNumberFormat="0" applyBorder="0" applyAlignment="0" applyProtection="0"/>
    <xf numFmtId="0" fontId="3" fillId="3" borderId="0" applyNumberFormat="0" applyBorder="0" applyAlignment="0" applyProtection="0"/>
    <xf numFmtId="0" fontId="8" fillId="4" borderId="3" applyNumberFormat="0" applyAlignment="0" applyProtection="0"/>
    <xf numFmtId="0" fontId="9" fillId="0" borderId="0" applyNumberFormat="0" applyFill="0" applyBorder="0" applyAlignment="0" applyProtection="0"/>
    <xf numFmtId="0" fontId="3" fillId="5" borderId="0" applyNumberFormat="0" applyBorder="0" applyAlignment="0" applyProtection="0"/>
    <xf numFmtId="0" fontId="2"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18" fillId="0" borderId="8" applyNumberFormat="0" applyFill="0" applyAlignment="0" applyProtection="0"/>
    <xf numFmtId="0" fontId="19" fillId="0" borderId="0" applyNumberFormat="0" applyFill="0" applyBorder="0" applyAlignment="0" applyProtection="0"/>
  </cellStyleXfs>
  <cellXfs count="94">
    <xf numFmtId="0" fontId="0" fillId="0" borderId="0" xfId="0"/>
    <xf numFmtId="0" fontId="0" fillId="0" borderId="1" xfId="0" applyBorder="1"/>
    <xf numFmtId="0" fontId="1" fillId="0" borderId="0" xfId="0" applyFont="1" applyAlignment="1">
      <alignment horizontal="center" vertical="center" wrapText="1"/>
    </xf>
    <xf numFmtId="0" fontId="0" fillId="0" borderId="0" xfId="0" applyAlignment="1">
      <alignment vertical="center" wrapText="1"/>
    </xf>
    <xf numFmtId="4" fontId="0" fillId="0" borderId="0" xfId="0" applyNumberFormat="1"/>
    <xf numFmtId="0" fontId="0" fillId="0" borderId="0" xfId="0" applyAlignment="1">
      <alignment horizontal="left" vertical="center" wrapText="1"/>
    </xf>
    <xf numFmtId="0" fontId="1" fillId="0" borderId="0" xfId="0" applyFont="1"/>
    <xf numFmtId="9" fontId="0" fillId="0" borderId="0" xfId="0" applyNumberFormat="1"/>
    <xf numFmtId="9" fontId="0" fillId="0" borderId="1" xfId="0" applyNumberFormat="1" applyBorder="1"/>
    <xf numFmtId="3" fontId="0" fillId="0" borderId="1" xfId="0" applyNumberFormat="1" applyBorder="1"/>
    <xf numFmtId="9" fontId="4" fillId="2" borderId="1" xfId="1" applyNumberFormat="1" applyFont="1" applyBorder="1"/>
    <xf numFmtId="6" fontId="0" fillId="0" borderId="0" xfId="0" applyNumberFormat="1"/>
    <xf numFmtId="0" fontId="7" fillId="0" borderId="0" xfId="2" applyFont="1" applyFill="1" applyBorder="1"/>
    <xf numFmtId="0" fontId="1" fillId="0" borderId="0" xfId="2" applyFont="1" applyFill="1" applyBorder="1"/>
    <xf numFmtId="0" fontId="2" fillId="6" borderId="0" xfId="6"/>
    <xf numFmtId="0" fontId="3" fillId="3" borderId="1" xfId="2" applyBorder="1"/>
    <xf numFmtId="0" fontId="1" fillId="3" borderId="1" xfId="2" applyFont="1" applyBorder="1" applyAlignment="1">
      <alignment horizontal="center"/>
    </xf>
    <xf numFmtId="1" fontId="3" fillId="0" borderId="1" xfId="8" applyNumberFormat="1" applyFill="1" applyBorder="1"/>
    <xf numFmtId="9" fontId="3" fillId="3" borderId="1" xfId="2" applyNumberFormat="1" applyBorder="1"/>
    <xf numFmtId="1" fontId="3" fillId="3" borderId="1" xfId="2" applyNumberFormat="1" applyBorder="1"/>
    <xf numFmtId="0" fontId="3" fillId="3" borderId="1" xfId="2" applyBorder="1" applyAlignment="1">
      <alignment horizontal="right"/>
    </xf>
    <xf numFmtId="4" fontId="0" fillId="0" borderId="1" xfId="0" applyNumberFormat="1" applyBorder="1" applyAlignment="1">
      <alignment horizontal="right"/>
    </xf>
    <xf numFmtId="0" fontId="0" fillId="0" borderId="1" xfId="0" applyBorder="1" applyAlignment="1">
      <alignment horizontal="right"/>
    </xf>
    <xf numFmtId="0" fontId="3" fillId="3" borderId="1" xfId="2" applyBorder="1" applyAlignment="1">
      <alignment horizontal="right" vertical="center" wrapText="1"/>
    </xf>
    <xf numFmtId="0" fontId="0" fillId="0" borderId="1" xfId="0" applyBorder="1" applyAlignment="1">
      <alignment horizontal="right" vertical="center" wrapText="1"/>
    </xf>
    <xf numFmtId="43" fontId="3" fillId="3" borderId="1" xfId="2" applyNumberFormat="1" applyBorder="1" applyAlignment="1">
      <alignment horizontal="right"/>
    </xf>
    <xf numFmtId="6" fontId="0" fillId="0" borderId="1" xfId="0" applyNumberFormat="1" applyBorder="1" applyAlignment="1">
      <alignment horizontal="right"/>
    </xf>
    <xf numFmtId="0" fontId="7" fillId="7" borderId="0" xfId="7" applyFont="1" applyAlignment="1"/>
    <xf numFmtId="4" fontId="3" fillId="3" borderId="1" xfId="2" applyNumberFormat="1" applyBorder="1" applyAlignment="1">
      <alignment horizontal="right"/>
    </xf>
    <xf numFmtId="0" fontId="11" fillId="0" borderId="0" xfId="0" applyFont="1"/>
    <xf numFmtId="0" fontId="11" fillId="13" borderId="0" xfId="0" applyFont="1" applyFill="1"/>
    <xf numFmtId="0" fontId="13" fillId="0" borderId="0" xfId="0" applyFont="1"/>
    <xf numFmtId="0" fontId="11" fillId="0" borderId="0" xfId="0" applyFont="1" applyAlignment="1">
      <alignment wrapText="1"/>
    </xf>
    <xf numFmtId="0" fontId="13" fillId="0" borderId="1" xfId="0" applyFont="1" applyBorder="1" applyAlignment="1">
      <alignment vertical="top" wrapText="1"/>
    </xf>
    <xf numFmtId="0" fontId="11" fillId="0" borderId="1" xfId="0" applyFont="1" applyBorder="1"/>
    <xf numFmtId="0" fontId="13" fillId="0" borderId="1" xfId="0" applyFont="1" applyBorder="1" applyAlignment="1">
      <alignment horizontal="center" vertical="center"/>
    </xf>
    <xf numFmtId="0" fontId="11" fillId="0" borderId="4" xfId="0" applyFont="1" applyBorder="1" applyAlignment="1">
      <alignment vertical="top" wrapText="1"/>
    </xf>
    <xf numFmtId="0" fontId="11" fillId="0" borderId="2" xfId="0" applyFont="1" applyBorder="1" applyAlignment="1">
      <alignment vertical="top" wrapText="1"/>
    </xf>
    <xf numFmtId="0" fontId="11" fillId="0" borderId="5" xfId="0" applyFont="1" applyBorder="1" applyAlignment="1">
      <alignment vertical="top" wrapText="1"/>
    </xf>
    <xf numFmtId="0" fontId="11" fillId="0" borderId="4" xfId="0" applyFont="1" applyBorder="1" applyAlignment="1">
      <alignment wrapText="1"/>
    </xf>
    <xf numFmtId="0" fontId="11" fillId="0" borderId="2" xfId="0" applyFont="1" applyBorder="1" applyAlignment="1">
      <alignment wrapText="1"/>
    </xf>
    <xf numFmtId="0" fontId="11" fillId="0" borderId="5" xfId="0" applyFont="1" applyBorder="1" applyAlignment="1">
      <alignment wrapText="1"/>
    </xf>
    <xf numFmtId="0" fontId="4" fillId="2" borderId="1" xfId="1" applyFont="1" applyBorder="1"/>
    <xf numFmtId="0" fontId="4" fillId="2" borderId="2" xfId="1" applyFont="1" applyBorder="1"/>
    <xf numFmtId="4" fontId="8" fillId="0" borderId="3" xfId="3" applyNumberFormat="1" applyFill="1"/>
    <xf numFmtId="3" fontId="8" fillId="0" borderId="3" xfId="3" applyNumberFormat="1" applyFill="1"/>
    <xf numFmtId="0" fontId="1" fillId="5" borderId="7" xfId="5" applyFont="1" applyBorder="1" applyAlignment="1">
      <alignment horizontal="left" vertical="top" wrapText="1"/>
    </xf>
    <xf numFmtId="0" fontId="9" fillId="0" borderId="7" xfId="4" applyBorder="1" applyAlignment="1">
      <alignment horizontal="left" vertical="top" wrapText="1"/>
    </xf>
    <xf numFmtId="0" fontId="9" fillId="0" borderId="7" xfId="4" applyNumberFormat="1" applyBorder="1" applyAlignment="1">
      <alignment horizontal="left" vertical="top" wrapText="1"/>
    </xf>
    <xf numFmtId="0" fontId="15" fillId="2" borderId="7" xfId="1" applyFont="1" applyBorder="1" applyAlignment="1">
      <alignment horizontal="center" vertical="center" wrapText="1"/>
    </xf>
    <xf numFmtId="0" fontId="1" fillId="14" borderId="7" xfId="7" applyFont="1" applyFill="1" applyBorder="1" applyAlignment="1" applyProtection="1">
      <alignment horizontal="left" vertical="top" wrapText="1"/>
      <protection locked="0"/>
    </xf>
    <xf numFmtId="9" fontId="1" fillId="14" borderId="7" xfId="7" applyNumberFormat="1" applyFont="1" applyFill="1" applyBorder="1" applyAlignment="1" applyProtection="1">
      <alignment horizontal="left" vertical="top" wrapText="1"/>
      <protection locked="0"/>
    </xf>
    <xf numFmtId="0" fontId="2" fillId="0" borderId="0" xfId="0" applyFont="1"/>
    <xf numFmtId="1" fontId="0" fillId="0" borderId="0" xfId="0" applyNumberFormat="1"/>
    <xf numFmtId="6" fontId="2" fillId="0" borderId="0" xfId="0" applyNumberFormat="1" applyFont="1"/>
    <xf numFmtId="0" fontId="0" fillId="0" borderId="0" xfId="0" applyAlignment="1" applyProtection="1">
      <alignment vertical="center" wrapText="1"/>
      <protection locked="0"/>
    </xf>
    <xf numFmtId="0" fontId="0" fillId="0" borderId="0" xfId="0" applyProtection="1">
      <protection locked="0"/>
    </xf>
    <xf numFmtId="0" fontId="19" fillId="0" borderId="0" xfId="10"/>
    <xf numFmtId="0" fontId="0" fillId="0" borderId="0" xfId="0" applyAlignment="1">
      <alignment wrapText="1"/>
    </xf>
    <xf numFmtId="0" fontId="4" fillId="2" borderId="1" xfId="1" applyFont="1" applyBorder="1" applyAlignment="1">
      <alignment wrapText="1"/>
    </xf>
    <xf numFmtId="0" fontId="0" fillId="0" borderId="1" xfId="0" applyBorder="1" applyAlignment="1">
      <alignment wrapText="1"/>
    </xf>
    <xf numFmtId="0" fontId="0" fillId="0" borderId="1" xfId="0" quotePrefix="1" applyBorder="1" applyAlignment="1">
      <alignment wrapText="1"/>
    </xf>
    <xf numFmtId="0" fontId="0" fillId="0" borderId="1" xfId="0" applyBorder="1" applyAlignment="1">
      <alignment vertical="center" wrapText="1"/>
    </xf>
    <xf numFmtId="0" fontId="1" fillId="3" borderId="1" xfId="2" applyFont="1" applyBorder="1" applyAlignment="1">
      <alignment wrapText="1"/>
    </xf>
    <xf numFmtId="0" fontId="1" fillId="0" borderId="0" xfId="2" applyFont="1" applyFill="1" applyBorder="1" applyAlignment="1">
      <alignment wrapText="1"/>
    </xf>
    <xf numFmtId="0" fontId="0" fillId="0" borderId="1" xfId="0" applyBorder="1" applyAlignment="1">
      <alignment horizontal="left" vertical="center" wrapText="1"/>
    </xf>
    <xf numFmtId="0" fontId="4" fillId="2" borderId="1" xfId="1" applyFont="1" applyBorder="1" applyAlignment="1">
      <alignment horizontal="left" vertical="center" wrapText="1"/>
    </xf>
    <xf numFmtId="3" fontId="3" fillId="3" borderId="1" xfId="2" applyNumberFormat="1" applyBorder="1"/>
    <xf numFmtId="0" fontId="1" fillId="0" borderId="0" xfId="0" applyFont="1" applyAlignment="1" applyProtection="1">
      <alignment vertical="center" wrapText="1"/>
      <protection locked="0"/>
    </xf>
    <xf numFmtId="4" fontId="0" fillId="0" borderId="0" xfId="0" applyNumberFormat="1" applyAlignment="1" applyProtection="1">
      <alignment vertical="center" wrapText="1"/>
      <protection locked="0"/>
    </xf>
    <xf numFmtId="0" fontId="0" fillId="12" borderId="0" xfId="0" applyFill="1" applyAlignment="1">
      <alignment horizontal="center"/>
    </xf>
    <xf numFmtId="0" fontId="0" fillId="9" borderId="0" xfId="0" applyFill="1" applyAlignment="1">
      <alignment horizontal="center"/>
    </xf>
    <xf numFmtId="0" fontId="16" fillId="0" borderId="0" xfId="0" applyFont="1" applyAlignment="1">
      <alignment horizontal="center"/>
    </xf>
    <xf numFmtId="0" fontId="17" fillId="0" borderId="0" xfId="0" applyFont="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0" borderId="0" xfId="0" applyAlignment="1">
      <alignment horizontal="left" vertical="center" wrapText="1"/>
    </xf>
    <xf numFmtId="0" fontId="18" fillId="0" borderId="8" xfId="9" applyFill="1" applyAlignment="1">
      <alignment horizontal="center" wrapText="1"/>
    </xf>
    <xf numFmtId="0" fontId="11" fillId="0" borderId="0" xfId="0" applyFont="1"/>
    <xf numFmtId="0" fontId="11" fillId="0" borderId="6" xfId="0" applyFont="1" applyBorder="1"/>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4" fillId="0" borderId="4" xfId="0" applyFont="1" applyBorder="1"/>
    <xf numFmtId="0" fontId="14" fillId="0" borderId="2" xfId="0" applyFont="1" applyBorder="1"/>
    <xf numFmtId="0" fontId="14" fillId="0" borderId="5" xfId="0" applyFont="1" applyBorder="1"/>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2" fillId="0" borderId="0" xfId="0" applyFont="1" applyAlignment="1">
      <alignment horizontal="center" vertical="center"/>
    </xf>
    <xf numFmtId="0" fontId="13" fillId="0" borderId="4" xfId="0" applyFont="1" applyBorder="1" applyAlignment="1">
      <alignment vertical="top" wrapText="1"/>
    </xf>
    <xf numFmtId="0" fontId="13" fillId="0" borderId="2" xfId="0" applyFont="1" applyBorder="1" applyAlignment="1">
      <alignment vertical="top" wrapText="1"/>
    </xf>
    <xf numFmtId="0" fontId="13" fillId="0" borderId="5" xfId="0" applyFont="1" applyBorder="1" applyAlignment="1">
      <alignment vertical="top" wrapText="1"/>
    </xf>
    <xf numFmtId="0" fontId="0" fillId="0" borderId="0" xfId="0" applyAlignment="1">
      <alignment horizontal="left" vertical="top" wrapText="1"/>
    </xf>
  </cellXfs>
  <cellStyles count="11">
    <cellStyle name="20% - Accent1" xfId="5" builtinId="30"/>
    <cellStyle name="20% - Accent2" xfId="2" builtinId="34"/>
    <cellStyle name="20% - Accent3" xfId="7" builtinId="38"/>
    <cellStyle name="20% - Accent4" xfId="8" builtinId="42"/>
    <cellStyle name="Accent1" xfId="1" builtinId="29"/>
    <cellStyle name="Accent3" xfId="6" builtinId="37"/>
    <cellStyle name="Calculation" xfId="3" builtinId="22"/>
    <cellStyle name="Explanatory Text" xfId="4" builtinId="53"/>
    <cellStyle name="Heading 2" xfId="9" builtinId="17"/>
    <cellStyle name="Hyperlink" xfId="10" builtinId="8"/>
    <cellStyle name="Normal" xfId="0" builtinId="0"/>
  </cellStyles>
  <dxfs count="54">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4" formatCode="#,##0.00"/>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3" formatCode="#,##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3" formatCode="#,##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3" formatCode="#,##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numFmt numFmtId="4" formatCode="#,##0.00"/>
      <fill>
        <patternFill patternType="none">
          <fgColor indexed="64"/>
          <bgColor auto="1"/>
        </patternFill>
      </fill>
      <alignment horizontal="general" vertical="center" textRotation="0" wrapText="1" indent="0" justifyLastLine="0" shrinkToFit="0" readingOrder="0"/>
      <protection locked="0" hidden="0"/>
    </dxf>
    <dxf>
      <numFmt numFmtId="4" formatCode="#,##0.00"/>
      <fill>
        <patternFill patternType="none">
          <fgColor indexed="64"/>
          <bgColor auto="1"/>
        </patternFill>
      </fill>
      <alignment horizontal="general" vertical="center" textRotation="0" wrapText="1" indent="0" justifyLastLine="0" shrinkToFit="0" readingOrder="0"/>
      <protection locked="0" hidden="0"/>
    </dxf>
    <dxf>
      <numFmt numFmtId="4" formatCode="#,##0.00"/>
      <fill>
        <patternFill patternType="none">
          <fgColor indexed="64"/>
          <bgColor auto="1"/>
        </patternFill>
      </fill>
      <alignment horizontal="general" vertical="center" textRotation="0" wrapText="1" indent="0" justifyLastLine="0" shrinkToFit="0" readingOrder="0"/>
      <protection locked="0" hidden="0"/>
    </dxf>
    <dxf>
      <numFmt numFmtId="4" formatCode="#,##0.00"/>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font>
        <b/>
      </font>
      <fill>
        <patternFill patternType="none">
          <fgColor indexed="64"/>
          <bgColor auto="1"/>
        </patternFill>
      </fill>
      <alignment horizontal="general" vertical="center" textRotation="0" wrapText="1" indent="0" justifyLastLine="0" shrinkToFit="0" readingOrder="0"/>
      <protection locked="0" hidden="0"/>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Your Fleet Data'!A1"/></Relationships>
</file>

<file path=xl/drawings/_rels/drawing3.xml.rels><?xml version="1.0" encoding="UTF-8" standalone="yes"?>
<Relationships xmlns="http://schemas.openxmlformats.org/package/2006/relationships"><Relationship Id="rId8" Type="http://schemas.openxmlformats.org/officeDocument/2006/relationships/image" Target="../media/image13.svg"/><Relationship Id="rId3" Type="http://schemas.openxmlformats.org/officeDocument/2006/relationships/image" Target="../media/image7.svg"/><Relationship Id="rId7"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image" Target="../media/image10.png"/><Relationship Id="rId6" Type="http://schemas.openxmlformats.org/officeDocument/2006/relationships/hyperlink" Target="#'Vehicle sharing impact results'!A1"/><Relationship Id="rId5" Type="http://schemas.openxmlformats.org/officeDocument/2006/relationships/image" Target="../media/image12.sv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3.svg"/><Relationship Id="rId2" Type="http://schemas.openxmlformats.org/officeDocument/2006/relationships/image" Target="../media/image14.png"/><Relationship Id="rId1" Type="http://schemas.openxmlformats.org/officeDocument/2006/relationships/image" Target="../media/image10.png"/><Relationship Id="rId6" Type="http://schemas.openxmlformats.org/officeDocument/2006/relationships/image" Target="../media/image8.png"/><Relationship Id="rId5" Type="http://schemas.openxmlformats.org/officeDocument/2006/relationships/hyperlink" Target="#'ROI &amp; Scenario Analysis'!A1"/><Relationship Id="rId4" Type="http://schemas.openxmlformats.org/officeDocument/2006/relationships/image" Target="../media/image7.sv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absolute">
    <xdr:from>
      <xdr:col>1</xdr:col>
      <xdr:colOff>624978</xdr:colOff>
      <xdr:row>7</xdr:row>
      <xdr:rowOff>40005</xdr:rowOff>
    </xdr:from>
    <xdr:to>
      <xdr:col>10</xdr:col>
      <xdr:colOff>474093</xdr:colOff>
      <xdr:row>35</xdr:row>
      <xdr:rowOff>76200</xdr:rowOff>
    </xdr:to>
    <xdr:sp macro="" textlink="">
      <xdr:nvSpPr>
        <xdr:cNvPr id="3" name="TextBox 2">
          <a:extLst>
            <a:ext uri="{FF2B5EF4-FFF2-40B4-BE49-F238E27FC236}">
              <a16:creationId xmlns:a16="http://schemas.microsoft.com/office/drawing/2014/main" id="{68A2E1C2-871D-5315-7C96-59DE94A1CE95}"/>
            </a:ext>
          </a:extLst>
        </xdr:cNvPr>
        <xdr:cNvSpPr txBox="1"/>
      </xdr:nvSpPr>
      <xdr:spPr>
        <a:xfrm>
          <a:off x="1234441" y="1306830"/>
          <a:ext cx="5535929" cy="5103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Purpose:</a:t>
          </a:r>
          <a:br>
            <a:rPr lang="en-GB"/>
          </a:br>
          <a:r>
            <a:rPr lang="en-GB"/>
            <a:t>This tool helps you estimate the potential cost savings, CO₂ reductions, and social implications of introducing a ride sharing scheme. By filling in the information on the following sheets, you’ll receive an analysis of your fleet’s potential benefits across the three pillars of sustainability: financial, environmental, and social.</a:t>
          </a:r>
          <a:br>
            <a:rPr lang="en-GB"/>
          </a:br>
          <a:r>
            <a:rPr lang="en-GB"/>
            <a:t>While social impact is not calculated directly, the tool prompts reflection on time investment, staff involvement, and operational collaboration</a:t>
          </a:r>
        </a:p>
        <a:p>
          <a:endParaRPr lang="en-GB"/>
        </a:p>
        <a:p>
          <a:r>
            <a:rPr lang="en-GB" sz="1400" b="1">
              <a:solidFill>
                <a:schemeClr val="tx2"/>
              </a:solidFill>
            </a:rPr>
            <a:t>How it works:</a:t>
          </a:r>
        </a:p>
        <a:p>
          <a:endParaRPr lang="en-GB" b="1"/>
        </a:p>
        <a:p>
          <a:r>
            <a:rPr lang="en-GB" b="1"/>
            <a:t>Fill In the General Info Sheet</a:t>
          </a:r>
          <a:br>
            <a:rPr lang="en-GB"/>
          </a:br>
          <a:r>
            <a:rPr lang="en-GB"/>
            <a:t>Provide basic information about your organisation, current costs, and project details.</a:t>
          </a:r>
        </a:p>
        <a:p>
          <a:endParaRPr lang="en-GB"/>
        </a:p>
        <a:p>
          <a:r>
            <a:rPr lang="en-GB" b="1"/>
            <a:t>Fill In the 'Your Fleet Data' Sheet</a:t>
          </a:r>
          <a:br>
            <a:rPr lang="en-GB"/>
          </a:br>
          <a:r>
            <a:rPr lang="en-GB" sz="1100">
              <a:solidFill>
                <a:schemeClr val="dk1"/>
              </a:solidFill>
              <a:effectLst/>
              <a:latin typeface="+mn-lt"/>
              <a:ea typeface="+mn-ea"/>
              <a:cs typeface="+mn-cs"/>
            </a:rPr>
            <a:t>Provide detailed information about each vehicle in your fleet, including fuel consumption, maintenance costs, and other related data. This allows the tool to calculate the total costs and savings. </a:t>
          </a:r>
          <a:endParaRPr lang="en-GB">
            <a:effectLst/>
          </a:endParaRPr>
        </a:p>
        <a:p>
          <a:endParaRPr lang="en-GB"/>
        </a:p>
        <a:p>
          <a:r>
            <a:rPr lang="en-GB" b="1"/>
            <a:t>View the Results</a:t>
          </a:r>
          <a:br>
            <a:rPr lang="en-GB"/>
          </a:br>
          <a:r>
            <a:rPr lang="en-GB"/>
            <a:t>See the analysis of potential savings and emissions reductions from the ride sharing scheme.</a:t>
          </a:r>
        </a:p>
        <a:p>
          <a:endParaRPr lang="en-GB" b="1"/>
        </a:p>
        <a:p>
          <a:endParaRPr lang="en-GB"/>
        </a:p>
        <a:p>
          <a:br>
            <a:rPr lang="en-GB">
              <a:solidFill>
                <a:schemeClr val="tx2"/>
              </a:solidFill>
            </a:rPr>
          </a:br>
          <a:r>
            <a:rPr lang="en-GB" i="1">
              <a:solidFill>
                <a:schemeClr val="tx2"/>
              </a:solidFill>
            </a:rPr>
            <a:t>Please do not modify or delete any formulas. The tool has been designed with formulas to automatically calculate your savings and emissions reductions based on the data you enter.</a:t>
          </a:r>
        </a:p>
        <a:p>
          <a:endParaRPr lang="en-GB"/>
        </a:p>
        <a:p>
          <a:r>
            <a:rPr lang="en-GB" b="1"/>
            <a:t>Need Assistance?</a:t>
          </a:r>
        </a:p>
        <a:p>
          <a:r>
            <a:rPr lang="en-GB"/>
            <a:t>If you have any questions or issues using this tool, please contact us at:</a:t>
          </a:r>
          <a:endParaRPr lang="en-GB" sz="1100"/>
        </a:p>
      </xdr:txBody>
    </xdr:sp>
    <xdr:clientData/>
  </xdr:twoCellAnchor>
  <xdr:twoCellAnchor editAs="absolute">
    <xdr:from>
      <xdr:col>1</xdr:col>
      <xdr:colOff>554355</xdr:colOff>
      <xdr:row>4</xdr:row>
      <xdr:rowOff>112395</xdr:rowOff>
    </xdr:from>
    <xdr:to>
      <xdr:col>8</xdr:col>
      <xdr:colOff>516002</xdr:colOff>
      <xdr:row>6</xdr:row>
      <xdr:rowOff>133350</xdr:rowOff>
    </xdr:to>
    <xdr:sp macro="" textlink="">
      <xdr:nvSpPr>
        <xdr:cNvPr id="4" name="TextBox 3">
          <a:extLst>
            <a:ext uri="{FF2B5EF4-FFF2-40B4-BE49-F238E27FC236}">
              <a16:creationId xmlns:a16="http://schemas.microsoft.com/office/drawing/2014/main" id="{EAD02C1D-6D96-49CF-4C61-41C864B36DF0}"/>
            </a:ext>
          </a:extLst>
        </xdr:cNvPr>
        <xdr:cNvSpPr txBox="1"/>
      </xdr:nvSpPr>
      <xdr:spPr>
        <a:xfrm>
          <a:off x="1171575" y="836295"/>
          <a:ext cx="440817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600" b="1">
              <a:solidFill>
                <a:schemeClr val="tx2"/>
              </a:solidFill>
              <a:effectLst/>
              <a:latin typeface="+mn-lt"/>
              <a:ea typeface="+mn-ea"/>
              <a:cs typeface="+mn-cs"/>
            </a:rPr>
            <a:t>Ride Sharing Decision-Making Tool</a:t>
          </a:r>
          <a:endParaRPr lang="en-GB" sz="1100"/>
        </a:p>
      </xdr:txBody>
    </xdr:sp>
    <xdr:clientData/>
  </xdr:twoCellAnchor>
  <xdr:twoCellAnchor editAs="absolute">
    <xdr:from>
      <xdr:col>0</xdr:col>
      <xdr:colOff>361950</xdr:colOff>
      <xdr:row>0</xdr:row>
      <xdr:rowOff>167640</xdr:rowOff>
    </xdr:from>
    <xdr:to>
      <xdr:col>3</xdr:col>
      <xdr:colOff>54878</xdr:colOff>
      <xdr:row>4</xdr:row>
      <xdr:rowOff>53520</xdr:rowOff>
    </xdr:to>
    <xdr:pic>
      <xdr:nvPicPr>
        <xdr:cNvPr id="6" name="Picture 5">
          <a:extLst>
            <a:ext uri="{FF2B5EF4-FFF2-40B4-BE49-F238E27FC236}">
              <a16:creationId xmlns:a16="http://schemas.microsoft.com/office/drawing/2014/main" id="{9B5B4919-19A1-CC2D-9272-C9CD2D2226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71450"/>
          <a:ext cx="1626870" cy="602160"/>
        </a:xfrm>
        <a:prstGeom prst="rect">
          <a:avLst/>
        </a:prstGeom>
      </xdr:spPr>
    </xdr:pic>
    <xdr:clientData/>
  </xdr:twoCellAnchor>
  <xdr:twoCellAnchor editAs="oneCell">
    <xdr:from>
      <xdr:col>1</xdr:col>
      <xdr:colOff>132856</xdr:colOff>
      <xdr:row>16</xdr:row>
      <xdr:rowOff>129610</xdr:rowOff>
    </xdr:from>
    <xdr:to>
      <xdr:col>1</xdr:col>
      <xdr:colOff>627999</xdr:colOff>
      <xdr:row>19</xdr:row>
      <xdr:rowOff>93990</xdr:rowOff>
    </xdr:to>
    <xdr:pic>
      <xdr:nvPicPr>
        <xdr:cNvPr id="8" name="Picture 7">
          <a:extLst>
            <a:ext uri="{FF2B5EF4-FFF2-40B4-BE49-F238E27FC236}">
              <a16:creationId xmlns:a16="http://schemas.microsoft.com/office/drawing/2014/main" id="{5DD3946A-D946-15D6-CCF6-AB450F8762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1079" y="3067441"/>
          <a:ext cx="495143" cy="515224"/>
        </a:xfrm>
        <a:prstGeom prst="rect">
          <a:avLst/>
        </a:prstGeom>
      </xdr:spPr>
    </xdr:pic>
    <xdr:clientData/>
  </xdr:twoCellAnchor>
  <xdr:twoCellAnchor editAs="oneCell">
    <xdr:from>
      <xdr:col>1</xdr:col>
      <xdr:colOff>115271</xdr:colOff>
      <xdr:row>20</xdr:row>
      <xdr:rowOff>114769</xdr:rowOff>
    </xdr:from>
    <xdr:to>
      <xdr:col>1</xdr:col>
      <xdr:colOff>592015</xdr:colOff>
      <xdr:row>23</xdr:row>
      <xdr:rowOff>28547</xdr:rowOff>
    </xdr:to>
    <xdr:pic>
      <xdr:nvPicPr>
        <xdr:cNvPr id="10" name="Picture 9">
          <a:extLst>
            <a:ext uri="{FF2B5EF4-FFF2-40B4-BE49-F238E27FC236}">
              <a16:creationId xmlns:a16="http://schemas.microsoft.com/office/drawing/2014/main" id="{636700CC-8096-AA0D-3FF3-6E3371C34F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494" y="3787058"/>
          <a:ext cx="476744" cy="464622"/>
        </a:xfrm>
        <a:prstGeom prst="rect">
          <a:avLst/>
        </a:prstGeom>
      </xdr:spPr>
    </xdr:pic>
    <xdr:clientData/>
  </xdr:twoCellAnchor>
  <xdr:twoCellAnchor editAs="oneCell">
    <xdr:from>
      <xdr:col>1</xdr:col>
      <xdr:colOff>170810</xdr:colOff>
      <xdr:row>24</xdr:row>
      <xdr:rowOff>148935</xdr:rowOff>
    </xdr:from>
    <xdr:to>
      <xdr:col>1</xdr:col>
      <xdr:colOff>555619</xdr:colOff>
      <xdr:row>26</xdr:row>
      <xdr:rowOff>170046</xdr:rowOff>
    </xdr:to>
    <xdr:pic>
      <xdr:nvPicPr>
        <xdr:cNvPr id="12" name="Picture 11">
          <a:extLst>
            <a:ext uri="{FF2B5EF4-FFF2-40B4-BE49-F238E27FC236}">
              <a16:creationId xmlns:a16="http://schemas.microsoft.com/office/drawing/2014/main" id="{DD06A2CA-9FDD-0561-D6B4-BDA07CDE4C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9033" y="4555682"/>
          <a:ext cx="384809" cy="38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403762</xdr:colOff>
      <xdr:row>7</xdr:row>
      <xdr:rowOff>152155</xdr:rowOff>
    </xdr:from>
    <xdr:to>
      <xdr:col>10</xdr:col>
      <xdr:colOff>1684264</xdr:colOff>
      <xdr:row>21</xdr:row>
      <xdr:rowOff>0</xdr:rowOff>
    </xdr:to>
    <xdr:sp macro="" textlink="">
      <xdr:nvSpPr>
        <xdr:cNvPr id="2" name="TextBox 1">
          <a:extLst>
            <a:ext uri="{FF2B5EF4-FFF2-40B4-BE49-F238E27FC236}">
              <a16:creationId xmlns:a16="http://schemas.microsoft.com/office/drawing/2014/main" id="{2A35839E-FE98-E4F5-4737-80446AD018C5}"/>
            </a:ext>
          </a:extLst>
        </xdr:cNvPr>
        <xdr:cNvSpPr txBox="1"/>
      </xdr:nvSpPr>
      <xdr:spPr>
        <a:xfrm>
          <a:off x="8319037" y="1666630"/>
          <a:ext cx="4328502" cy="3505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t>This sheet is designed to collect basic information about your organisation and project, which will be used to calculate the potential cost savings and CO₂ reductions from a ride sharing scheme. Please ensure all fields are filled in accurately.</a:t>
          </a:r>
        </a:p>
        <a:p>
          <a:endParaRPr lang="en-GB"/>
        </a:p>
        <a:p>
          <a:r>
            <a:rPr lang="en-GB" b="1"/>
            <a:t>Organisation details:</a:t>
          </a:r>
          <a:r>
            <a:rPr lang="en-GB"/>
            <a:t> Provide the name of your organisation and the name of the person completing this form (for example, a project manager or data analyst).</a:t>
          </a:r>
        </a:p>
        <a:p>
          <a:endParaRPr lang="en-GB"/>
        </a:p>
        <a:p>
          <a:r>
            <a:rPr lang="en-GB" b="1"/>
            <a:t>Cost and emissions data:</a:t>
          </a:r>
          <a:r>
            <a:rPr lang="en-GB"/>
            <a:t> Enter your local petrol, diesel, and electricity prices. Default CO₂ emission values are already included but can be adjusted if you have country-specific data. If your fleet includes electric vehicles, you may also enter electricity cost per kWh and CO₂ per kWh.</a:t>
          </a:r>
        </a:p>
        <a:p>
          <a:endParaRPr lang="en-GB"/>
        </a:p>
        <a:p>
          <a:r>
            <a:rPr lang="en-GB" b="1"/>
            <a:t>Cost inputs:</a:t>
          </a:r>
          <a:r>
            <a:rPr lang="en-GB"/>
            <a:t> Include the monthly cost of a driver and a manager, including salary and overhead. If applicable, provide the one-time project cost required to enable ride sharing (such as a booking system) and any monthly HR or support costs related to the scheme.</a:t>
          </a:r>
        </a:p>
        <a:p>
          <a:endParaRPr lang="en-GB"/>
        </a:p>
        <a:p>
          <a:r>
            <a:rPr lang="en-GB" b="1"/>
            <a:t>Sharing assumptions:</a:t>
          </a:r>
          <a:r>
            <a:rPr lang="en-GB"/>
            <a:t> Estimate the percentage of your current transport demand that will shift to ride sharing. Also specify the percentage of shared trips that will be completed using your organisation’s own vehicles.</a:t>
          </a:r>
        </a:p>
        <a:p>
          <a:endParaRPr lang="en-GB"/>
        </a:p>
        <a:p>
          <a:r>
            <a:rPr lang="en-GB"/>
            <a:t>Once this sheet is complete, proceed to the </a:t>
          </a:r>
          <a:r>
            <a:rPr lang="en-GB" b="1"/>
            <a:t>‘Your Fleet Data’</a:t>
          </a:r>
          <a:r>
            <a:rPr lang="en-GB"/>
            <a:t> sheet, where you will enter detailed information about your fleet, including vehicle type, fuel consumption, and operational costs.</a:t>
          </a:r>
        </a:p>
      </xdr:txBody>
    </xdr:sp>
    <xdr:clientData/>
  </xdr:twoCellAnchor>
  <xdr:twoCellAnchor editAs="absolute">
    <xdr:from>
      <xdr:col>0</xdr:col>
      <xdr:colOff>133351</xdr:colOff>
      <xdr:row>0</xdr:row>
      <xdr:rowOff>53341</xdr:rowOff>
    </xdr:from>
    <xdr:to>
      <xdr:col>1</xdr:col>
      <xdr:colOff>929641</xdr:colOff>
      <xdr:row>2</xdr:row>
      <xdr:rowOff>93308</xdr:rowOff>
    </xdr:to>
    <xdr:pic>
      <xdr:nvPicPr>
        <xdr:cNvPr id="5" name="Picture 4">
          <a:extLst>
            <a:ext uri="{FF2B5EF4-FFF2-40B4-BE49-F238E27FC236}">
              <a16:creationId xmlns:a16="http://schemas.microsoft.com/office/drawing/2014/main" id="{125C6C98-12CB-4E59-BE61-837D93F20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47626"/>
          <a:ext cx="1066800" cy="398107"/>
        </a:xfrm>
        <a:prstGeom prst="rect">
          <a:avLst/>
        </a:prstGeom>
      </xdr:spPr>
    </xdr:pic>
    <xdr:clientData/>
  </xdr:twoCellAnchor>
  <xdr:twoCellAnchor editAs="oneCell">
    <xdr:from>
      <xdr:col>8</xdr:col>
      <xdr:colOff>19050</xdr:colOff>
      <xdr:row>3</xdr:row>
      <xdr:rowOff>66675</xdr:rowOff>
    </xdr:from>
    <xdr:to>
      <xdr:col>9</xdr:col>
      <xdr:colOff>323850</xdr:colOff>
      <xdr:row>7</xdr:row>
      <xdr:rowOff>209550</xdr:rowOff>
    </xdr:to>
    <xdr:pic>
      <xdr:nvPicPr>
        <xdr:cNvPr id="7" name="Graphic 6" descr="Information with solid fill">
          <a:extLst>
            <a:ext uri="{FF2B5EF4-FFF2-40B4-BE49-F238E27FC236}">
              <a16:creationId xmlns:a16="http://schemas.microsoft.com/office/drawing/2014/main" id="{3153207E-3622-D28D-C8D1-41E8B2B9494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763125" y="619125"/>
          <a:ext cx="914400" cy="914400"/>
        </a:xfrm>
        <a:prstGeom prst="rect">
          <a:avLst/>
        </a:prstGeom>
      </xdr:spPr>
    </xdr:pic>
    <xdr:clientData/>
  </xdr:twoCellAnchor>
  <xdr:twoCellAnchor>
    <xdr:from>
      <xdr:col>8</xdr:col>
      <xdr:colOff>13334</xdr:colOff>
      <xdr:row>19</xdr:row>
      <xdr:rowOff>60959</xdr:rowOff>
    </xdr:from>
    <xdr:to>
      <xdr:col>9</xdr:col>
      <xdr:colOff>310515</xdr:colOff>
      <xdr:row>20</xdr:row>
      <xdr:rowOff>274319</xdr:rowOff>
    </xdr:to>
    <xdr:grpSp>
      <xdr:nvGrpSpPr>
        <xdr:cNvPr id="11" name="Group 10">
          <a:hlinkClick xmlns:r="http://schemas.openxmlformats.org/officeDocument/2006/relationships" r:id="rId4"/>
          <a:extLst>
            <a:ext uri="{FF2B5EF4-FFF2-40B4-BE49-F238E27FC236}">
              <a16:creationId xmlns:a16="http://schemas.microsoft.com/office/drawing/2014/main" id="{745A2500-641B-6B72-C1A8-E05C1BAE0739}"/>
            </a:ext>
          </a:extLst>
        </xdr:cNvPr>
        <xdr:cNvGrpSpPr/>
      </xdr:nvGrpSpPr>
      <xdr:grpSpPr>
        <a:xfrm>
          <a:off x="9818676" y="6233036"/>
          <a:ext cx="920034" cy="966736"/>
          <a:chOff x="6934199" y="6012179"/>
          <a:chExt cx="901066" cy="777240"/>
        </a:xfrm>
      </xdr:grpSpPr>
      <xdr:sp macro="" textlink="">
        <xdr:nvSpPr>
          <xdr:cNvPr id="10" name="Rectangle: Rounded Corners 9">
            <a:extLst>
              <a:ext uri="{FF2B5EF4-FFF2-40B4-BE49-F238E27FC236}">
                <a16:creationId xmlns:a16="http://schemas.microsoft.com/office/drawing/2014/main" id="{AE6EECB8-C626-6B28-EDED-FC2A4DC01A7E}"/>
              </a:ext>
            </a:extLst>
          </xdr:cNvPr>
          <xdr:cNvSpPr/>
        </xdr:nvSpPr>
        <xdr:spPr>
          <a:xfrm>
            <a:off x="6934199" y="6162676"/>
            <a:ext cx="901066" cy="466725"/>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Graphic 8" descr="Arrow Right with solid fill">
            <a:extLst>
              <a:ext uri="{FF2B5EF4-FFF2-40B4-BE49-F238E27FC236}">
                <a16:creationId xmlns:a16="http://schemas.microsoft.com/office/drawing/2014/main" id="{F0501FD1-E3D8-4FE9-9F41-5BB39C2900E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84263" y="6012179"/>
            <a:ext cx="790041" cy="777240"/>
          </a:xfrm>
          <a:prstGeom prst="rect">
            <a:avLst/>
          </a:prstGeom>
        </xdr:spPr>
      </xdr:pic>
    </xdr:grpSp>
    <xdr:clientData/>
  </xdr:twoCellAnchor>
  <xdr:twoCellAnchor>
    <xdr:from>
      <xdr:col>1</xdr:col>
      <xdr:colOff>1583055</xdr:colOff>
      <xdr:row>0</xdr:row>
      <xdr:rowOff>76200</xdr:rowOff>
    </xdr:from>
    <xdr:to>
      <xdr:col>3</xdr:col>
      <xdr:colOff>1009650</xdr:colOff>
      <xdr:row>2</xdr:row>
      <xdr:rowOff>102870</xdr:rowOff>
    </xdr:to>
    <xdr:sp macro="" textlink="">
      <xdr:nvSpPr>
        <xdr:cNvPr id="12" name="TextBox 11">
          <a:extLst>
            <a:ext uri="{FF2B5EF4-FFF2-40B4-BE49-F238E27FC236}">
              <a16:creationId xmlns:a16="http://schemas.microsoft.com/office/drawing/2014/main" id="{217A3A22-D4F3-9A78-704B-5F4BA9ABCA59}"/>
            </a:ext>
          </a:extLst>
        </xdr:cNvPr>
        <xdr:cNvSpPr txBox="1"/>
      </xdr:nvSpPr>
      <xdr:spPr>
        <a:xfrm>
          <a:off x="1859280" y="76200"/>
          <a:ext cx="3846195"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solidFill>
                <a:schemeClr val="accent1"/>
              </a:solidFill>
            </a:rPr>
            <a:t>General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133422</xdr:colOff>
      <xdr:row>0</xdr:row>
      <xdr:rowOff>55281</xdr:rowOff>
    </xdr:from>
    <xdr:to>
      <xdr:col>1</xdr:col>
      <xdr:colOff>897974</xdr:colOff>
      <xdr:row>1</xdr:row>
      <xdr:rowOff>93954</xdr:rowOff>
    </xdr:to>
    <xdr:pic>
      <xdr:nvPicPr>
        <xdr:cNvPr id="2" name="Picture 1">
          <a:extLst>
            <a:ext uri="{FF2B5EF4-FFF2-40B4-BE49-F238E27FC236}">
              <a16:creationId xmlns:a16="http://schemas.microsoft.com/office/drawing/2014/main" id="{C88D3858-0035-4038-886E-8CBD893BE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97" y="64806"/>
          <a:ext cx="1074420" cy="398107"/>
        </a:xfrm>
        <a:prstGeom prst="rect">
          <a:avLst/>
        </a:prstGeom>
      </xdr:spPr>
    </xdr:pic>
    <xdr:clientData/>
  </xdr:twoCellAnchor>
  <xdr:twoCellAnchor>
    <xdr:from>
      <xdr:col>1</xdr:col>
      <xdr:colOff>406269</xdr:colOff>
      <xdr:row>0</xdr:row>
      <xdr:rowOff>93668</xdr:rowOff>
    </xdr:from>
    <xdr:to>
      <xdr:col>2</xdr:col>
      <xdr:colOff>669015</xdr:colOff>
      <xdr:row>1</xdr:row>
      <xdr:rowOff>115234</xdr:rowOff>
    </xdr:to>
    <xdr:sp macro="" textlink="">
      <xdr:nvSpPr>
        <xdr:cNvPr id="3" name="TextBox 2">
          <a:extLst>
            <a:ext uri="{FF2B5EF4-FFF2-40B4-BE49-F238E27FC236}">
              <a16:creationId xmlns:a16="http://schemas.microsoft.com/office/drawing/2014/main" id="{EA03B941-D02C-4C57-9C9D-3978EF2CB68F}"/>
            </a:ext>
          </a:extLst>
        </xdr:cNvPr>
        <xdr:cNvSpPr txBox="1"/>
      </xdr:nvSpPr>
      <xdr:spPr>
        <a:xfrm>
          <a:off x="702802" y="93668"/>
          <a:ext cx="38481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solidFill>
                <a:schemeClr val="accent1"/>
              </a:solidFill>
            </a:rPr>
            <a:t>Your Fleet Data</a:t>
          </a:r>
        </a:p>
      </xdr:txBody>
    </xdr:sp>
    <xdr:clientData/>
  </xdr:twoCellAnchor>
  <xdr:twoCellAnchor>
    <xdr:from>
      <xdr:col>1</xdr:col>
      <xdr:colOff>969933</xdr:colOff>
      <xdr:row>2</xdr:row>
      <xdr:rowOff>168489</xdr:rowOff>
    </xdr:from>
    <xdr:to>
      <xdr:col>5</xdr:col>
      <xdr:colOff>84667</xdr:colOff>
      <xdr:row>25</xdr:row>
      <xdr:rowOff>136385</xdr:rowOff>
    </xdr:to>
    <xdr:sp macro="" textlink="">
      <xdr:nvSpPr>
        <xdr:cNvPr id="5" name="TextBox 4">
          <a:extLst>
            <a:ext uri="{FF2B5EF4-FFF2-40B4-BE49-F238E27FC236}">
              <a16:creationId xmlns:a16="http://schemas.microsoft.com/office/drawing/2014/main" id="{B0367F12-287E-4534-9FED-6A5E76FE1D26}"/>
            </a:ext>
          </a:extLst>
        </xdr:cNvPr>
        <xdr:cNvSpPr txBox="1"/>
      </xdr:nvSpPr>
      <xdr:spPr>
        <a:xfrm>
          <a:off x="1266266" y="708239"/>
          <a:ext cx="5771651" cy="6127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t>In this sheet, you will enter detailed information about each vehicle in your fleet.</a:t>
          </a:r>
          <a:br>
            <a:rPr lang="en-GB"/>
          </a:br>
          <a:r>
            <a:rPr lang="en-GB"/>
            <a:t>Complete </a:t>
          </a:r>
          <a:r>
            <a:rPr lang="en-GB" b="1"/>
            <a:t>one row per vehicle type</a:t>
          </a:r>
          <a:r>
            <a:rPr lang="en-GB"/>
            <a:t>, including key characteristics and associated operational costs.</a:t>
          </a:r>
        </a:p>
        <a:p>
          <a:endParaRPr lang="en-GB"/>
        </a:p>
        <a:p>
          <a:r>
            <a:rPr lang="en-GB" b="1"/>
            <a:t>Vehicle Type</a:t>
          </a:r>
          <a:br>
            <a:rPr lang="en-GB"/>
          </a:br>
          <a:r>
            <a:rPr lang="en-GB"/>
            <a:t>Start by selecting the vehicle type from the dropdown list. This ensures accurate categorisation for cost and emissions calculations. The available options are:</a:t>
          </a:r>
        </a:p>
        <a:p>
          <a:pPr lvl="1"/>
          <a:r>
            <a:rPr lang="en-GB" b="1"/>
            <a:t>Light Vehicle (Sedan/City Car):</a:t>
          </a:r>
          <a:r>
            <a:rPr lang="en-GB"/>
            <a:t> Regular passenger cars used for city or highway travel; typically for general staff transport.</a:t>
          </a:r>
        </a:p>
        <a:p>
          <a:pPr lvl="1"/>
          <a:r>
            <a:rPr lang="en-GB" b="1"/>
            <a:t>4x4 / SUV:</a:t>
          </a:r>
          <a:r>
            <a:rPr lang="en-GB"/>
            <a:t> Four-wheel drive vehicles suitable for off-road conditions; often used in rural or field environments.</a:t>
          </a:r>
        </a:p>
        <a:p>
          <a:pPr lvl="1"/>
          <a:r>
            <a:rPr lang="en-GB" b="1"/>
            <a:t>Minibus:</a:t>
          </a:r>
          <a:r>
            <a:rPr lang="en-GB"/>
            <a:t> Multi-passenger vehicles used for group transport, shuttles, or team movements.</a:t>
          </a:r>
        </a:p>
        <a:p>
          <a:endParaRPr lang="en-GB"/>
        </a:p>
        <a:p>
          <a:r>
            <a:rPr lang="en-GB" b="1"/>
            <a:t>To Add a New Row</a:t>
          </a:r>
          <a:br>
            <a:rPr lang="en-GB"/>
          </a:br>
          <a:r>
            <a:rPr lang="en-GB"/>
            <a:t>Right-click anywhere in the table and select </a:t>
          </a:r>
          <a:r>
            <a:rPr lang="en-GB" b="1"/>
            <a:t>Insert</a:t>
          </a:r>
          <a:r>
            <a:rPr lang="en-GB"/>
            <a:t> to add a new vehicle row.</a:t>
          </a:r>
        </a:p>
        <a:p>
          <a:endParaRPr lang="en-GB"/>
        </a:p>
        <a:p>
          <a:r>
            <a:rPr lang="en-GB" b="1"/>
            <a:t>What to Fill In</a:t>
          </a:r>
          <a:br>
            <a:rPr lang="en-GB"/>
          </a:br>
          <a:r>
            <a:rPr lang="en-GB"/>
            <a:t>For each vehicle type, provide the following:</a:t>
          </a:r>
        </a:p>
        <a:p>
          <a:pPr lvl="1"/>
          <a:r>
            <a:rPr lang="en-GB" b="1"/>
            <a:t>Fuel Consumption (litres/100 km) per month</a:t>
          </a:r>
          <a:r>
            <a:rPr lang="en-GB"/>
            <a:t> for petrol or diesel vehicles</a:t>
          </a:r>
        </a:p>
        <a:p>
          <a:pPr lvl="1"/>
          <a:r>
            <a:rPr lang="en-GB" b="1"/>
            <a:t>Energy Consumption (kWh/100 km) per month</a:t>
          </a:r>
          <a:r>
            <a:rPr lang="en-GB"/>
            <a:t> for electric vehicles (if applicable)</a:t>
          </a:r>
        </a:p>
        <a:p>
          <a:pPr lvl="1"/>
          <a:r>
            <a:rPr lang="en-GB" b="1"/>
            <a:t>Average Monthly Distance Driven</a:t>
          </a:r>
          <a:r>
            <a:rPr lang="en-GB"/>
            <a:t> (per vehicle, in km)</a:t>
          </a:r>
        </a:p>
        <a:p>
          <a:pPr lvl="1"/>
          <a:r>
            <a:rPr lang="en-GB" b="1"/>
            <a:t>Operational Costs:</a:t>
          </a:r>
          <a:r>
            <a:rPr lang="en-GB"/>
            <a:t> Include monthly lease/rent, insurance, and maintenance costs</a:t>
          </a:r>
        </a:p>
        <a:p>
          <a:pPr lvl="1"/>
          <a:r>
            <a:rPr lang="en-GB" b="1"/>
            <a:t>Purchase Price</a:t>
          </a:r>
          <a:r>
            <a:rPr lang="en-GB"/>
            <a:t> for owned vehicles</a:t>
          </a:r>
        </a:p>
        <a:p>
          <a:pPr lvl="1"/>
          <a:r>
            <a:rPr lang="en-GB" b="1"/>
            <a:t>Estimated Residual value</a:t>
          </a:r>
          <a:r>
            <a:rPr lang="en-GB"/>
            <a:t> this should be </a:t>
          </a:r>
          <a:r>
            <a:rPr lang="en-GB" b="0"/>
            <a:t>the estimated value of the vehicle at the end of its useful life, </a:t>
          </a:r>
          <a:r>
            <a:rPr lang="en-GB"/>
            <a:t>not the current market value</a:t>
          </a:r>
        </a:p>
        <a:p>
          <a:pPr lvl="1"/>
          <a:endParaRPr lang="en-GB"/>
        </a:p>
        <a:p>
          <a:r>
            <a:rPr lang="en-GB"/>
            <a:t>When you enter data (like fuel consumption, kilometres driven, or maintenance costs), it should represent the </a:t>
          </a:r>
          <a:r>
            <a:rPr lang="en-GB" b="1"/>
            <a:t>average performance or cost for one vehicle of that type</a:t>
          </a:r>
          <a:r>
            <a:rPr lang="en-GB"/>
            <a:t>, rather than an extreme case (e.g. your most expensive or least-used vehicle).</a:t>
          </a:r>
        </a:p>
        <a:p>
          <a:endParaRPr lang="en-GB"/>
        </a:p>
        <a:p>
          <a:r>
            <a:rPr lang="en-GB"/>
            <a:t>Once you’ve entered all vehicle data, proceed to the next sheet to continue your analysis.</a:t>
          </a:r>
        </a:p>
      </xdr:txBody>
    </xdr:sp>
    <xdr:clientData/>
  </xdr:twoCellAnchor>
  <xdr:twoCellAnchor editAs="oneCell">
    <xdr:from>
      <xdr:col>0</xdr:col>
      <xdr:colOff>193690</xdr:colOff>
      <xdr:row>9</xdr:row>
      <xdr:rowOff>19877</xdr:rowOff>
    </xdr:from>
    <xdr:to>
      <xdr:col>1</xdr:col>
      <xdr:colOff>815367</xdr:colOff>
      <xdr:row>12</xdr:row>
      <xdr:rowOff>20991</xdr:rowOff>
    </xdr:to>
    <xdr:pic>
      <xdr:nvPicPr>
        <xdr:cNvPr id="6" name="Graphic 5" descr="Information with solid fill">
          <a:extLst>
            <a:ext uri="{FF2B5EF4-FFF2-40B4-BE49-F238E27FC236}">
              <a16:creationId xmlns:a16="http://schemas.microsoft.com/office/drawing/2014/main" id="{3178AFEF-1FE6-4FDE-A0BF-EFEE8CD4F3B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3690" y="1817047"/>
          <a:ext cx="910590" cy="912495"/>
        </a:xfrm>
        <a:prstGeom prst="rect">
          <a:avLst/>
        </a:prstGeom>
      </xdr:spPr>
    </xdr:pic>
    <xdr:clientData/>
  </xdr:twoCellAnchor>
  <xdr:twoCellAnchor editAs="oneCell">
    <xdr:from>
      <xdr:col>1</xdr:col>
      <xdr:colOff>2682133</xdr:colOff>
      <xdr:row>24</xdr:row>
      <xdr:rowOff>127706</xdr:rowOff>
    </xdr:from>
    <xdr:to>
      <xdr:col>1</xdr:col>
      <xdr:colOff>3107739</xdr:colOff>
      <xdr:row>27</xdr:row>
      <xdr:rowOff>15811</xdr:rowOff>
    </xdr:to>
    <xdr:pic>
      <xdr:nvPicPr>
        <xdr:cNvPr id="10" name="Graphic 9" descr="Arrow Down with solid fill">
          <a:extLst>
            <a:ext uri="{FF2B5EF4-FFF2-40B4-BE49-F238E27FC236}">
              <a16:creationId xmlns:a16="http://schemas.microsoft.com/office/drawing/2014/main" id="{765E5AF2-F0C1-B8BB-0FDB-E9D987C3432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978666" y="4989050"/>
          <a:ext cx="421796" cy="431066"/>
        </a:xfrm>
        <a:prstGeom prst="rect">
          <a:avLst/>
        </a:prstGeom>
      </xdr:spPr>
    </xdr:pic>
    <xdr:clientData/>
  </xdr:twoCellAnchor>
  <xdr:twoCellAnchor>
    <xdr:from>
      <xdr:col>6</xdr:col>
      <xdr:colOff>666856</xdr:colOff>
      <xdr:row>17</xdr:row>
      <xdr:rowOff>356163</xdr:rowOff>
    </xdr:from>
    <xdr:to>
      <xdr:col>8</xdr:col>
      <xdr:colOff>503208</xdr:colOff>
      <xdr:row>20</xdr:row>
      <xdr:rowOff>152760</xdr:rowOff>
    </xdr:to>
    <xdr:sp macro="" textlink="">
      <xdr:nvSpPr>
        <xdr:cNvPr id="14" name="TextBox 13">
          <a:extLst>
            <a:ext uri="{FF2B5EF4-FFF2-40B4-BE49-F238E27FC236}">
              <a16:creationId xmlns:a16="http://schemas.microsoft.com/office/drawing/2014/main" id="{98D21CE1-B84C-FC3E-33C2-C0C1F59557C3}"/>
            </a:ext>
          </a:extLst>
        </xdr:cNvPr>
        <xdr:cNvSpPr txBox="1"/>
      </xdr:nvSpPr>
      <xdr:spPr>
        <a:xfrm>
          <a:off x="9625748" y="3779771"/>
          <a:ext cx="3250974" cy="51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t>Once you’ve completed the table with all your vehicle information, you can proceed to the next step.</a:t>
          </a:r>
          <a:endParaRPr lang="en-GB" sz="1100"/>
        </a:p>
      </xdr:txBody>
    </xdr:sp>
    <xdr:clientData/>
  </xdr:twoCellAnchor>
  <xdr:twoCellAnchor>
    <xdr:from>
      <xdr:col>6</xdr:col>
      <xdr:colOff>798375</xdr:colOff>
      <xdr:row>19</xdr:row>
      <xdr:rowOff>134789</xdr:rowOff>
    </xdr:from>
    <xdr:to>
      <xdr:col>8</xdr:col>
      <xdr:colOff>146795</xdr:colOff>
      <xdr:row>24</xdr:row>
      <xdr:rowOff>11539</xdr:rowOff>
    </xdr:to>
    <xdr:grpSp>
      <xdr:nvGrpSpPr>
        <xdr:cNvPr id="16" name="Group 15">
          <a:hlinkClick xmlns:r="http://schemas.openxmlformats.org/officeDocument/2006/relationships" r:id="rId6"/>
          <a:extLst>
            <a:ext uri="{FF2B5EF4-FFF2-40B4-BE49-F238E27FC236}">
              <a16:creationId xmlns:a16="http://schemas.microsoft.com/office/drawing/2014/main" id="{F45A9E84-17A7-A489-967F-C6F027C6B0A1}"/>
            </a:ext>
          </a:extLst>
        </xdr:cNvPr>
        <xdr:cNvGrpSpPr/>
      </xdr:nvGrpSpPr>
      <xdr:grpSpPr>
        <a:xfrm>
          <a:off x="9751875" y="5777943"/>
          <a:ext cx="3605551" cy="768835"/>
          <a:chOff x="10193763" y="4142477"/>
          <a:chExt cx="2770662" cy="779145"/>
        </a:xfrm>
      </xdr:grpSpPr>
      <xdr:sp macro="" textlink="">
        <xdr:nvSpPr>
          <xdr:cNvPr id="12" name="Rectangle: Rounded Corners 11">
            <a:extLst>
              <a:ext uri="{FF2B5EF4-FFF2-40B4-BE49-F238E27FC236}">
                <a16:creationId xmlns:a16="http://schemas.microsoft.com/office/drawing/2014/main" id="{61EF153C-9916-4B46-8099-03852FF1D5AB}"/>
              </a:ext>
            </a:extLst>
          </xdr:cNvPr>
          <xdr:cNvSpPr/>
        </xdr:nvSpPr>
        <xdr:spPr>
          <a:xfrm>
            <a:off x="10193763" y="4292605"/>
            <a:ext cx="2770662" cy="465581"/>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Graphic 12" descr="Arrow Right with solid fill">
            <a:extLst>
              <a:ext uri="{FF2B5EF4-FFF2-40B4-BE49-F238E27FC236}">
                <a16:creationId xmlns:a16="http://schemas.microsoft.com/office/drawing/2014/main" id="{FAAEE260-3CA5-FA88-F4D6-AD9DC36F6AF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2163648" y="4142477"/>
            <a:ext cx="734435" cy="779145"/>
          </a:xfrm>
          <a:prstGeom prst="rect">
            <a:avLst/>
          </a:prstGeom>
        </xdr:spPr>
      </xdr:pic>
      <xdr:sp macro="" textlink="">
        <xdr:nvSpPr>
          <xdr:cNvPr id="15" name="TextBox 14">
            <a:hlinkClick xmlns:r="http://schemas.openxmlformats.org/officeDocument/2006/relationships" r:id="rId6"/>
            <a:extLst>
              <a:ext uri="{FF2B5EF4-FFF2-40B4-BE49-F238E27FC236}">
                <a16:creationId xmlns:a16="http://schemas.microsoft.com/office/drawing/2014/main" id="{3DB07969-9CBD-3B84-8C58-07B8898EBD34}"/>
              </a:ext>
            </a:extLst>
          </xdr:cNvPr>
          <xdr:cNvSpPr txBox="1"/>
        </xdr:nvSpPr>
        <xdr:spPr>
          <a:xfrm>
            <a:off x="10263744" y="4385811"/>
            <a:ext cx="1878043" cy="285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bg1"/>
                </a:solidFill>
              </a:rPr>
              <a:t>ROI and Scenario Analysis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472043</xdr:colOff>
      <xdr:row>0</xdr:row>
      <xdr:rowOff>96918</xdr:rowOff>
    </xdr:from>
    <xdr:to>
      <xdr:col>4</xdr:col>
      <xdr:colOff>240426</xdr:colOff>
      <xdr:row>3</xdr:row>
      <xdr:rowOff>158779</xdr:rowOff>
    </xdr:to>
    <xdr:pic>
      <xdr:nvPicPr>
        <xdr:cNvPr id="11" name="FF Logo">
          <a:extLst>
            <a:ext uri="{FF2B5EF4-FFF2-40B4-BE49-F238E27FC236}">
              <a16:creationId xmlns:a16="http://schemas.microsoft.com/office/drawing/2014/main" id="{7A022DD7-51F3-4221-A16E-E0B564B10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402" y="96918"/>
          <a:ext cx="1584087" cy="597642"/>
        </a:xfrm>
        <a:prstGeom prst="rect">
          <a:avLst/>
        </a:prstGeom>
      </xdr:spPr>
    </xdr:pic>
    <xdr:clientData/>
  </xdr:twoCellAnchor>
  <xdr:twoCellAnchor editAs="absolute">
    <xdr:from>
      <xdr:col>6</xdr:col>
      <xdr:colOff>325913</xdr:colOff>
      <xdr:row>0</xdr:row>
      <xdr:rowOff>92710</xdr:rowOff>
    </xdr:from>
    <xdr:to>
      <xdr:col>12</xdr:col>
      <xdr:colOff>554036</xdr:colOff>
      <xdr:row>2</xdr:row>
      <xdr:rowOff>91757</xdr:rowOff>
    </xdr:to>
    <xdr:sp macro="" textlink="">
      <xdr:nvSpPr>
        <xdr:cNvPr id="12" name="Title">
          <a:extLst>
            <a:ext uri="{FF2B5EF4-FFF2-40B4-BE49-F238E27FC236}">
              <a16:creationId xmlns:a16="http://schemas.microsoft.com/office/drawing/2014/main" id="{4C5C25A3-EE3F-490A-9A9F-850434007099}"/>
            </a:ext>
          </a:extLst>
        </xdr:cNvPr>
        <xdr:cNvSpPr txBox="1"/>
      </xdr:nvSpPr>
      <xdr:spPr>
        <a:xfrm>
          <a:off x="3560444" y="92710"/>
          <a:ext cx="3859530" cy="35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solidFill>
                <a:schemeClr val="accent1"/>
              </a:solidFill>
            </a:rPr>
            <a:t>Ride sharing impact results</a:t>
          </a:r>
        </a:p>
      </xdr:txBody>
    </xdr:sp>
    <xdr:clientData/>
  </xdr:twoCellAnchor>
  <xdr:twoCellAnchor editAs="absolute">
    <xdr:from>
      <xdr:col>0</xdr:col>
      <xdr:colOff>0</xdr:colOff>
      <xdr:row>2</xdr:row>
      <xdr:rowOff>90009</xdr:rowOff>
    </xdr:from>
    <xdr:to>
      <xdr:col>14</xdr:col>
      <xdr:colOff>539750</xdr:colOff>
      <xdr:row>33</xdr:row>
      <xdr:rowOff>177433</xdr:rowOff>
    </xdr:to>
    <xdr:grpSp>
      <xdr:nvGrpSpPr>
        <xdr:cNvPr id="208" name="Group 74">
          <a:extLst>
            <a:ext uri="{FF2B5EF4-FFF2-40B4-BE49-F238E27FC236}">
              <a16:creationId xmlns:a16="http://schemas.microsoft.com/office/drawing/2014/main" id="{CDE48A17-9BF4-66AE-1B89-1C8A1FC5D692}"/>
            </a:ext>
          </a:extLst>
        </xdr:cNvPr>
        <xdr:cNvGrpSpPr/>
      </xdr:nvGrpSpPr>
      <xdr:grpSpPr>
        <a:xfrm>
          <a:off x="0" y="455769"/>
          <a:ext cx="8923655" cy="5690029"/>
          <a:chOff x="24765" y="577690"/>
          <a:chExt cx="8619966" cy="5853382"/>
        </a:xfrm>
      </xdr:grpSpPr>
      <xdr:pic>
        <xdr:nvPicPr>
          <xdr:cNvPr id="209" name="Picture 6">
            <a:extLst>
              <a:ext uri="{FF2B5EF4-FFF2-40B4-BE49-F238E27FC236}">
                <a16:creationId xmlns:a16="http://schemas.microsoft.com/office/drawing/2014/main" id="{61CD5178-25FD-FBE0-A4FB-02DB5A92F6F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309" b="11536"/>
          <a:stretch>
            <a:fillRect/>
          </a:stretch>
        </xdr:blipFill>
        <xdr:spPr>
          <a:xfrm>
            <a:off x="24765" y="577690"/>
            <a:ext cx="8619966" cy="5853382"/>
          </a:xfrm>
          <a:prstGeom prst="rect">
            <a:avLst/>
          </a:prstGeom>
        </xdr:spPr>
      </xdr:pic>
      <xdr:sp macro="" textlink="'ROI &amp; Scenario Analysis'!B3">
        <xdr:nvSpPr>
          <xdr:cNvPr id="210" name="TextBox 7">
            <a:extLst>
              <a:ext uri="{FF2B5EF4-FFF2-40B4-BE49-F238E27FC236}">
                <a16:creationId xmlns:a16="http://schemas.microsoft.com/office/drawing/2014/main" id="{5D7FED1D-F192-DACB-1ED0-0087AE1344C1}"/>
              </a:ext>
            </a:extLst>
          </xdr:cNvPr>
          <xdr:cNvSpPr txBox="1"/>
        </xdr:nvSpPr>
        <xdr:spPr>
          <a:xfrm>
            <a:off x="3228102" y="741045"/>
            <a:ext cx="1256189" cy="52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0100A6C-B408-4881-97CC-BF983A8A0702}" type="TxLink">
              <a:rPr lang="en-US" sz="1000" b="1" i="0" u="none" strike="noStrike">
                <a:solidFill>
                  <a:schemeClr val="bg1"/>
                </a:solidFill>
                <a:latin typeface="Segoe UI" panose="020B0502040204020203" pitchFamily="34" charset="0"/>
                <a:ea typeface="Calibri"/>
                <a:cs typeface="Segoe UI" panose="020B0502040204020203" pitchFamily="34" charset="0"/>
              </a:rPr>
              <a:pPr algn="ctr"/>
              <a:t>Your chosen scenario (20%)</a:t>
            </a:fld>
            <a:endParaRPr lang="en-GB" sz="1000">
              <a:solidFill>
                <a:schemeClr val="bg1"/>
              </a:solidFill>
              <a:latin typeface="Segoe UI" panose="020B0502040204020203" pitchFamily="34" charset="0"/>
              <a:cs typeface="Segoe UI" panose="020B0502040204020203" pitchFamily="34" charset="0"/>
            </a:endParaRPr>
          </a:p>
        </xdr:txBody>
      </xdr:sp>
      <xdr:sp macro="" textlink="">
        <xdr:nvSpPr>
          <xdr:cNvPr id="211" name="TextBox 12">
            <a:extLst>
              <a:ext uri="{FF2B5EF4-FFF2-40B4-BE49-F238E27FC236}">
                <a16:creationId xmlns:a16="http://schemas.microsoft.com/office/drawing/2014/main" id="{708D3BEB-1091-9CD3-6795-3748B544C5BD}"/>
              </a:ext>
            </a:extLst>
          </xdr:cNvPr>
          <xdr:cNvSpPr txBox="1"/>
        </xdr:nvSpPr>
        <xdr:spPr>
          <a:xfrm>
            <a:off x="4541441" y="752475"/>
            <a:ext cx="1263808" cy="535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chemeClr val="bg1"/>
                </a:solidFill>
                <a:latin typeface="Segoe UI" panose="020B0502040204020203" pitchFamily="34" charset="0"/>
                <a:cs typeface="Segoe UI" panose="020B0502040204020203" pitchFamily="34" charset="0"/>
              </a:rPr>
              <a:t>10%</a:t>
            </a:r>
          </a:p>
        </xdr:txBody>
      </xdr:sp>
      <xdr:sp macro="" textlink="">
        <xdr:nvSpPr>
          <xdr:cNvPr id="212" name="TextBox 13">
            <a:extLst>
              <a:ext uri="{FF2B5EF4-FFF2-40B4-BE49-F238E27FC236}">
                <a16:creationId xmlns:a16="http://schemas.microsoft.com/office/drawing/2014/main" id="{63EA7535-50D3-EE64-77CD-9B5292F27DC2}"/>
              </a:ext>
            </a:extLst>
          </xdr:cNvPr>
          <xdr:cNvSpPr txBox="1"/>
        </xdr:nvSpPr>
        <xdr:spPr>
          <a:xfrm>
            <a:off x="5846206" y="752475"/>
            <a:ext cx="1284764" cy="535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chemeClr val="bg1"/>
                </a:solidFill>
                <a:latin typeface="Segoe UI" panose="020B0502040204020203" pitchFamily="34" charset="0"/>
                <a:cs typeface="Segoe UI" panose="020B0502040204020203" pitchFamily="34" charset="0"/>
              </a:rPr>
              <a:t>25%</a:t>
            </a:r>
          </a:p>
        </xdr:txBody>
      </xdr:sp>
      <xdr:sp macro="" textlink="">
        <xdr:nvSpPr>
          <xdr:cNvPr id="213" name="TextBox 14">
            <a:extLst>
              <a:ext uri="{FF2B5EF4-FFF2-40B4-BE49-F238E27FC236}">
                <a16:creationId xmlns:a16="http://schemas.microsoft.com/office/drawing/2014/main" id="{2186C652-2449-FF5A-CD5A-D6B2F5F02B19}"/>
              </a:ext>
            </a:extLst>
          </xdr:cNvPr>
          <xdr:cNvSpPr txBox="1"/>
        </xdr:nvSpPr>
        <xdr:spPr>
          <a:xfrm>
            <a:off x="7171928" y="752475"/>
            <a:ext cx="1267619" cy="535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chemeClr val="bg1"/>
                </a:solidFill>
                <a:latin typeface="Segoe UI" panose="020B0502040204020203" pitchFamily="34" charset="0"/>
                <a:cs typeface="Segoe UI" panose="020B0502040204020203" pitchFamily="34" charset="0"/>
              </a:rPr>
              <a:t>50%</a:t>
            </a:r>
          </a:p>
        </xdr:txBody>
      </xdr:sp>
      <xdr:grpSp>
        <xdr:nvGrpSpPr>
          <xdr:cNvPr id="214" name="Group 18">
            <a:extLst>
              <a:ext uri="{FF2B5EF4-FFF2-40B4-BE49-F238E27FC236}">
                <a16:creationId xmlns:a16="http://schemas.microsoft.com/office/drawing/2014/main" id="{36AF3B65-B4C0-B684-316F-F62453455080}"/>
              </a:ext>
            </a:extLst>
          </xdr:cNvPr>
          <xdr:cNvGrpSpPr/>
        </xdr:nvGrpSpPr>
        <xdr:grpSpPr>
          <a:xfrm>
            <a:off x="622379" y="1341597"/>
            <a:ext cx="2609533" cy="575788"/>
            <a:chOff x="630555" y="2085976"/>
            <a:chExt cx="2626995" cy="582931"/>
          </a:xfrm>
        </xdr:grpSpPr>
        <xdr:sp macro="" textlink="">
          <xdr:nvSpPr>
            <xdr:cNvPr id="215" name="TextBox 15">
              <a:extLst>
                <a:ext uri="{FF2B5EF4-FFF2-40B4-BE49-F238E27FC236}">
                  <a16:creationId xmlns:a16="http://schemas.microsoft.com/office/drawing/2014/main" id="{03D43813-3D1A-FF6D-03A8-A78D5BE83F34}"/>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Fleet reduction (%)</a:t>
              </a:r>
            </a:p>
          </xdr:txBody>
        </xdr:sp>
        <xdr:sp macro="" textlink="">
          <xdr:nvSpPr>
            <xdr:cNvPr id="216" name="TextBox 17">
              <a:extLst>
                <a:ext uri="{FF2B5EF4-FFF2-40B4-BE49-F238E27FC236}">
                  <a16:creationId xmlns:a16="http://schemas.microsoft.com/office/drawing/2014/main" id="{FB97376A-6F72-F784-862C-C3944690AF75}"/>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Percentage of fleet reduced through sharing schemes</a:t>
              </a:r>
            </a:p>
          </xdr:txBody>
        </xdr:sp>
      </xdr:grpSp>
      <xdr:grpSp>
        <xdr:nvGrpSpPr>
          <xdr:cNvPr id="217" name="Group 19">
            <a:extLst>
              <a:ext uri="{FF2B5EF4-FFF2-40B4-BE49-F238E27FC236}">
                <a16:creationId xmlns:a16="http://schemas.microsoft.com/office/drawing/2014/main" id="{B0AF17B4-D26C-FDA6-1503-D985C69C91AD}"/>
              </a:ext>
            </a:extLst>
          </xdr:cNvPr>
          <xdr:cNvGrpSpPr/>
        </xdr:nvGrpSpPr>
        <xdr:grpSpPr>
          <a:xfrm>
            <a:off x="626189" y="1979772"/>
            <a:ext cx="2609533" cy="577693"/>
            <a:chOff x="630555" y="2085976"/>
            <a:chExt cx="2626995" cy="582931"/>
          </a:xfrm>
        </xdr:grpSpPr>
        <xdr:sp macro="" textlink="">
          <xdr:nvSpPr>
            <xdr:cNvPr id="218" name="TextBox 20">
              <a:extLst>
                <a:ext uri="{FF2B5EF4-FFF2-40B4-BE49-F238E27FC236}">
                  <a16:creationId xmlns:a16="http://schemas.microsoft.com/office/drawing/2014/main" id="{76D2C301-1A43-0868-F06A-B06CB6C66A41}"/>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Number of vehicles reduced</a:t>
              </a:r>
            </a:p>
          </xdr:txBody>
        </xdr:sp>
        <xdr:sp macro="" textlink="">
          <xdr:nvSpPr>
            <xdr:cNvPr id="219" name="TextBox 21">
              <a:extLst>
                <a:ext uri="{FF2B5EF4-FFF2-40B4-BE49-F238E27FC236}">
                  <a16:creationId xmlns:a16="http://schemas.microsoft.com/office/drawing/2014/main" id="{A3CF7189-06D4-7E80-832B-9C9B4D864C33}"/>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The number of vehicles that are no longer necessary due to reduced driving distance.</a:t>
              </a:r>
            </a:p>
          </xdr:txBody>
        </xdr:sp>
      </xdr:grpSp>
      <xdr:grpSp>
        <xdr:nvGrpSpPr>
          <xdr:cNvPr id="220" name="Group 22">
            <a:extLst>
              <a:ext uri="{FF2B5EF4-FFF2-40B4-BE49-F238E27FC236}">
                <a16:creationId xmlns:a16="http://schemas.microsoft.com/office/drawing/2014/main" id="{5DBF213A-5CA1-B142-2C8B-DF0134E227D5}"/>
              </a:ext>
            </a:extLst>
          </xdr:cNvPr>
          <xdr:cNvGrpSpPr/>
        </xdr:nvGrpSpPr>
        <xdr:grpSpPr>
          <a:xfrm>
            <a:off x="626189" y="2633664"/>
            <a:ext cx="2609533" cy="571977"/>
            <a:chOff x="630555" y="2085976"/>
            <a:chExt cx="2626995" cy="582931"/>
          </a:xfrm>
        </xdr:grpSpPr>
        <xdr:sp macro="" textlink="">
          <xdr:nvSpPr>
            <xdr:cNvPr id="221" name="TextBox 23">
              <a:extLst>
                <a:ext uri="{FF2B5EF4-FFF2-40B4-BE49-F238E27FC236}">
                  <a16:creationId xmlns:a16="http://schemas.microsoft.com/office/drawing/2014/main" id="{27BEAEEC-A8AF-4A15-5333-766F0D965958}"/>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Monthly kilometers reduced</a:t>
              </a:r>
            </a:p>
          </xdr:txBody>
        </xdr:sp>
        <xdr:sp macro="" textlink="">
          <xdr:nvSpPr>
            <xdr:cNvPr id="222" name="TextBox 24">
              <a:extLst>
                <a:ext uri="{FF2B5EF4-FFF2-40B4-BE49-F238E27FC236}">
                  <a16:creationId xmlns:a16="http://schemas.microsoft.com/office/drawing/2014/main" id="{56DAA24D-FA29-8842-2251-3B49C6FDA7C0}"/>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The total kilometers reduced each month by using shared vehicles instead of your own.</a:t>
              </a:r>
            </a:p>
          </xdr:txBody>
        </xdr:sp>
      </xdr:grpSp>
      <xdr:grpSp>
        <xdr:nvGrpSpPr>
          <xdr:cNvPr id="223" name="Group 25">
            <a:extLst>
              <a:ext uri="{FF2B5EF4-FFF2-40B4-BE49-F238E27FC236}">
                <a16:creationId xmlns:a16="http://schemas.microsoft.com/office/drawing/2014/main" id="{96BFDBFF-C628-113F-184C-1AE888D57B29}"/>
              </a:ext>
            </a:extLst>
          </xdr:cNvPr>
          <xdr:cNvGrpSpPr/>
        </xdr:nvGrpSpPr>
        <xdr:grpSpPr>
          <a:xfrm>
            <a:off x="626189" y="3271839"/>
            <a:ext cx="2609533" cy="571977"/>
            <a:chOff x="630555" y="2085976"/>
            <a:chExt cx="2626995" cy="582931"/>
          </a:xfrm>
        </xdr:grpSpPr>
        <xdr:sp macro="" textlink="">
          <xdr:nvSpPr>
            <xdr:cNvPr id="224" name="TextBox 26">
              <a:extLst>
                <a:ext uri="{FF2B5EF4-FFF2-40B4-BE49-F238E27FC236}">
                  <a16:creationId xmlns:a16="http://schemas.microsoft.com/office/drawing/2014/main" id="{8E8FE5BD-C4D3-6527-9F06-1DABB938E308}"/>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Fuel savings (litres)</a:t>
              </a:r>
            </a:p>
          </xdr:txBody>
        </xdr:sp>
        <xdr:sp macro="" textlink="">
          <xdr:nvSpPr>
            <xdr:cNvPr id="225" name="TextBox 27">
              <a:extLst>
                <a:ext uri="{FF2B5EF4-FFF2-40B4-BE49-F238E27FC236}">
                  <a16:creationId xmlns:a16="http://schemas.microsoft.com/office/drawing/2014/main" id="{56149F0B-29E9-CAB1-1CC3-996BB3636192}"/>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The total amount of fuel saved each month by using shared vehicles instead of your own</a:t>
              </a:r>
            </a:p>
          </xdr:txBody>
        </xdr:sp>
      </xdr:grpSp>
      <xdr:grpSp>
        <xdr:nvGrpSpPr>
          <xdr:cNvPr id="226" name="Group 28">
            <a:extLst>
              <a:ext uri="{FF2B5EF4-FFF2-40B4-BE49-F238E27FC236}">
                <a16:creationId xmlns:a16="http://schemas.microsoft.com/office/drawing/2014/main" id="{BF1E600B-B863-C7B0-0D61-F48302CE24A1}"/>
              </a:ext>
            </a:extLst>
          </xdr:cNvPr>
          <xdr:cNvGrpSpPr/>
        </xdr:nvGrpSpPr>
        <xdr:grpSpPr>
          <a:xfrm>
            <a:off x="626189" y="3920015"/>
            <a:ext cx="2609533" cy="569596"/>
            <a:chOff x="630555" y="2085976"/>
            <a:chExt cx="2626995" cy="582931"/>
          </a:xfrm>
        </xdr:grpSpPr>
        <xdr:sp macro="" textlink="">
          <xdr:nvSpPr>
            <xdr:cNvPr id="227" name="TextBox 29">
              <a:extLst>
                <a:ext uri="{FF2B5EF4-FFF2-40B4-BE49-F238E27FC236}">
                  <a16:creationId xmlns:a16="http://schemas.microsoft.com/office/drawing/2014/main" id="{CDF6ABDB-FDFD-63D4-555F-01CB86356CA4}"/>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CO₂ emissions saved (kg)</a:t>
              </a:r>
            </a:p>
          </xdr:txBody>
        </xdr:sp>
        <xdr:sp macro="" textlink="">
          <xdr:nvSpPr>
            <xdr:cNvPr id="228" name="TextBox 30">
              <a:extLst>
                <a:ext uri="{FF2B5EF4-FFF2-40B4-BE49-F238E27FC236}">
                  <a16:creationId xmlns:a16="http://schemas.microsoft.com/office/drawing/2014/main" id="{C8C81877-7E22-C721-00B9-768FBA6A6991}"/>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Amount of CO₂ emissions reduced each month</a:t>
              </a:r>
            </a:p>
          </xdr:txBody>
        </xdr:sp>
      </xdr:grpSp>
      <xdr:grpSp>
        <xdr:nvGrpSpPr>
          <xdr:cNvPr id="229" name="Group 31">
            <a:extLst>
              <a:ext uri="{FF2B5EF4-FFF2-40B4-BE49-F238E27FC236}">
                <a16:creationId xmlns:a16="http://schemas.microsoft.com/office/drawing/2014/main" id="{370BBB02-8665-E8CD-40E7-3FB8E36259C7}"/>
              </a:ext>
            </a:extLst>
          </xdr:cNvPr>
          <xdr:cNvGrpSpPr/>
        </xdr:nvGrpSpPr>
        <xdr:grpSpPr>
          <a:xfrm>
            <a:off x="626189" y="4562000"/>
            <a:ext cx="2609533" cy="573882"/>
            <a:chOff x="630555" y="2085976"/>
            <a:chExt cx="2626995" cy="582931"/>
          </a:xfrm>
        </xdr:grpSpPr>
        <xdr:sp macro="" textlink="">
          <xdr:nvSpPr>
            <xdr:cNvPr id="230" name="TextBox 32">
              <a:extLst>
                <a:ext uri="{FF2B5EF4-FFF2-40B4-BE49-F238E27FC236}">
                  <a16:creationId xmlns:a16="http://schemas.microsoft.com/office/drawing/2014/main" id="{4682881C-DB54-5E71-CA44-402F1C60F12A}"/>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Total cost savings (year 1)</a:t>
              </a:r>
            </a:p>
          </xdr:txBody>
        </xdr:sp>
        <xdr:sp macro="" textlink="">
          <xdr:nvSpPr>
            <xdr:cNvPr id="231" name="TextBox 33">
              <a:extLst>
                <a:ext uri="{FF2B5EF4-FFF2-40B4-BE49-F238E27FC236}">
                  <a16:creationId xmlns:a16="http://schemas.microsoft.com/office/drawing/2014/main" id="{B93E5D74-3F26-2FD0-0EF4-359A8D7DEE79}"/>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The total savings from reduced operational costs, including fuel, maintenance, and fixed costs</a:t>
              </a:r>
            </a:p>
          </xdr:txBody>
        </xdr:sp>
      </xdr:grpSp>
      <xdr:grpSp>
        <xdr:nvGrpSpPr>
          <xdr:cNvPr id="232" name="Group 34">
            <a:extLst>
              <a:ext uri="{FF2B5EF4-FFF2-40B4-BE49-F238E27FC236}">
                <a16:creationId xmlns:a16="http://schemas.microsoft.com/office/drawing/2014/main" id="{391C2149-82BD-04EF-B988-C34D8981203C}"/>
              </a:ext>
            </a:extLst>
          </xdr:cNvPr>
          <xdr:cNvGrpSpPr/>
        </xdr:nvGrpSpPr>
        <xdr:grpSpPr>
          <a:xfrm>
            <a:off x="626189" y="5194460"/>
            <a:ext cx="2609533" cy="573882"/>
            <a:chOff x="630555" y="2085976"/>
            <a:chExt cx="2626995" cy="582931"/>
          </a:xfrm>
        </xdr:grpSpPr>
        <xdr:sp macro="" textlink="">
          <xdr:nvSpPr>
            <xdr:cNvPr id="233" name="TextBox 35">
              <a:extLst>
                <a:ext uri="{FF2B5EF4-FFF2-40B4-BE49-F238E27FC236}">
                  <a16:creationId xmlns:a16="http://schemas.microsoft.com/office/drawing/2014/main" id="{5DACD0F4-B531-2213-BE9F-ED3FF66915FD}"/>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Net savings (year 1)</a:t>
              </a:r>
            </a:p>
          </xdr:txBody>
        </xdr:sp>
        <xdr:sp macro="" textlink="">
          <xdr:nvSpPr>
            <xdr:cNvPr id="234" name="TextBox 36">
              <a:extLst>
                <a:ext uri="{FF2B5EF4-FFF2-40B4-BE49-F238E27FC236}">
                  <a16:creationId xmlns:a16="http://schemas.microsoft.com/office/drawing/2014/main" id="{1A14979B-E2F8-439E-66B4-77ABC8E79DAF}"/>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Savings after accounting for all costs, including recurring expenses and savings from reducing vehicles </a:t>
              </a:r>
            </a:p>
          </xdr:txBody>
        </xdr:sp>
      </xdr:grpSp>
      <xdr:grpSp>
        <xdr:nvGrpSpPr>
          <xdr:cNvPr id="235" name="Group 37">
            <a:extLst>
              <a:ext uri="{FF2B5EF4-FFF2-40B4-BE49-F238E27FC236}">
                <a16:creationId xmlns:a16="http://schemas.microsoft.com/office/drawing/2014/main" id="{B3474755-82B0-154D-7801-421BB8B13677}"/>
              </a:ext>
            </a:extLst>
          </xdr:cNvPr>
          <xdr:cNvGrpSpPr/>
        </xdr:nvGrpSpPr>
        <xdr:grpSpPr>
          <a:xfrm>
            <a:off x="622379" y="5848351"/>
            <a:ext cx="2609533" cy="573882"/>
            <a:chOff x="630555" y="2085976"/>
            <a:chExt cx="2626995" cy="582931"/>
          </a:xfrm>
        </xdr:grpSpPr>
        <xdr:sp macro="" textlink="">
          <xdr:nvSpPr>
            <xdr:cNvPr id="236" name="TextBox 38">
              <a:extLst>
                <a:ext uri="{FF2B5EF4-FFF2-40B4-BE49-F238E27FC236}">
                  <a16:creationId xmlns:a16="http://schemas.microsoft.com/office/drawing/2014/main" id="{2D26BB3E-69A3-214E-51EF-757D30FD5403}"/>
                </a:ext>
              </a:extLst>
            </xdr:cNvPr>
            <xdr:cNvSpPr txBox="1"/>
          </xdr:nvSpPr>
          <xdr:spPr>
            <a:xfrm>
              <a:off x="630555" y="2085976"/>
              <a:ext cx="2626995" cy="28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2">
                      <a:lumMod val="25000"/>
                    </a:schemeClr>
                  </a:solidFill>
                  <a:latin typeface="Segoe UI" panose="020B0502040204020203" pitchFamily="34" charset="0"/>
                  <a:cs typeface="Segoe UI" panose="020B0502040204020203" pitchFamily="34" charset="0"/>
                </a:rPr>
                <a:t>Payback period (months)</a:t>
              </a:r>
            </a:p>
          </xdr:txBody>
        </xdr:sp>
        <xdr:sp macro="" textlink="">
          <xdr:nvSpPr>
            <xdr:cNvPr id="237" name="TextBox 39">
              <a:extLst>
                <a:ext uri="{FF2B5EF4-FFF2-40B4-BE49-F238E27FC236}">
                  <a16:creationId xmlns:a16="http://schemas.microsoft.com/office/drawing/2014/main" id="{2479AC29-487E-FFF7-D78D-D55F9E5133D5}"/>
                </a:ext>
              </a:extLst>
            </xdr:cNvPr>
            <xdr:cNvSpPr txBox="1"/>
          </xdr:nvSpPr>
          <xdr:spPr>
            <a:xfrm>
              <a:off x="630555" y="2263141"/>
              <a:ext cx="2626995" cy="40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800" b="0" i="1">
                  <a:solidFill>
                    <a:schemeClr val="tx2"/>
                  </a:solidFill>
                  <a:latin typeface="Segoe UI" panose="020B0502040204020203" pitchFamily="34" charset="0"/>
                  <a:cs typeface="Segoe UI" panose="020B0502040204020203" pitchFamily="34" charset="0"/>
                </a:rPr>
                <a:t>The time it takes to recover your initial investment</a:t>
              </a:r>
            </a:p>
          </xdr:txBody>
        </xdr:sp>
      </xdr:grpSp>
      <xdr:grpSp>
        <xdr:nvGrpSpPr>
          <xdr:cNvPr id="238" name="Your scenario">
            <a:extLst>
              <a:ext uri="{FF2B5EF4-FFF2-40B4-BE49-F238E27FC236}">
                <a16:creationId xmlns:a16="http://schemas.microsoft.com/office/drawing/2014/main" id="{53D89651-EF1A-EE6D-43B8-12B16EECF6A3}"/>
              </a:ext>
            </a:extLst>
          </xdr:cNvPr>
          <xdr:cNvGrpSpPr/>
        </xdr:nvGrpSpPr>
        <xdr:grpSpPr>
          <a:xfrm>
            <a:off x="3273822" y="1328896"/>
            <a:ext cx="1244839" cy="5008244"/>
            <a:chOff x="3264297" y="2057638"/>
            <a:chExt cx="1258174" cy="5002529"/>
          </a:xfrm>
        </xdr:grpSpPr>
        <xdr:sp macro="" textlink="'ROI &amp; Scenario Analysis'!B4">
          <xdr:nvSpPr>
            <xdr:cNvPr id="239" name="TextBox 40">
              <a:extLst>
                <a:ext uri="{FF2B5EF4-FFF2-40B4-BE49-F238E27FC236}">
                  <a16:creationId xmlns:a16="http://schemas.microsoft.com/office/drawing/2014/main" id="{72C093BB-33D7-4F46-A278-FD76402D5064}"/>
                </a:ext>
              </a:extLst>
            </xdr:cNvPr>
            <xdr:cNvSpPr txBox="1"/>
          </xdr:nvSpPr>
          <xdr:spPr>
            <a:xfrm>
              <a:off x="3264297" y="2057638"/>
              <a:ext cx="1254364"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B7E91D4-4E1A-4DA2-B878-2EC17C868E77}"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12%</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B6">
          <xdr:nvSpPr>
            <xdr:cNvPr id="240" name="TextBox 1">
              <a:extLst>
                <a:ext uri="{FF2B5EF4-FFF2-40B4-BE49-F238E27FC236}">
                  <a16:creationId xmlns:a16="http://schemas.microsoft.com/office/drawing/2014/main" id="{1971E1D0-C621-3662-0ADD-8C3E004E81BC}"/>
                </a:ext>
              </a:extLst>
            </xdr:cNvPr>
            <xdr:cNvSpPr txBox="1"/>
          </xdr:nvSpPr>
          <xdr:spPr>
            <a:xfrm>
              <a:off x="3270012" y="2695575"/>
              <a:ext cx="124864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F5AB99E-D9F6-4DB8-AB1D-59AF18763178}"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4</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B7">
          <xdr:nvSpPr>
            <xdr:cNvPr id="241" name="TextBox 2">
              <a:extLst>
                <a:ext uri="{FF2B5EF4-FFF2-40B4-BE49-F238E27FC236}">
                  <a16:creationId xmlns:a16="http://schemas.microsoft.com/office/drawing/2014/main" id="{D8D186A1-E48A-516B-8217-CD71396C388B}"/>
                </a:ext>
              </a:extLst>
            </xdr:cNvPr>
            <xdr:cNvSpPr txBox="1"/>
          </xdr:nvSpPr>
          <xdr:spPr>
            <a:xfrm>
              <a:off x="3270012" y="3310652"/>
              <a:ext cx="1248649"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E8FA4C1-6068-4BF4-9647-FDCCA0F00298}"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5.000</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B8">
          <xdr:nvSpPr>
            <xdr:cNvPr id="242" name="TextBox 3">
              <a:extLst>
                <a:ext uri="{FF2B5EF4-FFF2-40B4-BE49-F238E27FC236}">
                  <a16:creationId xmlns:a16="http://schemas.microsoft.com/office/drawing/2014/main" id="{0873BF3C-EE80-50B6-6D71-2BAA33337AE0}"/>
                </a:ext>
              </a:extLst>
            </xdr:cNvPr>
            <xdr:cNvSpPr txBox="1"/>
          </xdr:nvSpPr>
          <xdr:spPr>
            <a:xfrm>
              <a:off x="3270012" y="3946684"/>
              <a:ext cx="1250554"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C544425-CC70-45CF-B329-C8B6528C91A6}"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358 – 448 litres</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B10">
          <xdr:nvSpPr>
            <xdr:cNvPr id="243" name="TextBox 4">
              <a:extLst>
                <a:ext uri="{FF2B5EF4-FFF2-40B4-BE49-F238E27FC236}">
                  <a16:creationId xmlns:a16="http://schemas.microsoft.com/office/drawing/2014/main" id="{4E454821-6A4D-D473-8169-685B5D253DC0}"/>
                </a:ext>
              </a:extLst>
            </xdr:cNvPr>
            <xdr:cNvSpPr txBox="1"/>
          </xdr:nvSpPr>
          <xdr:spPr>
            <a:xfrm>
              <a:off x="3270012" y="4599861"/>
              <a:ext cx="1252459" cy="56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5379C4F-58B8-44F2-8964-EA572815204B}"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938 – 1173 kg</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B13">
          <xdr:nvSpPr>
            <xdr:cNvPr id="244" name="TextBox 5">
              <a:extLst>
                <a:ext uri="{FF2B5EF4-FFF2-40B4-BE49-F238E27FC236}">
                  <a16:creationId xmlns:a16="http://schemas.microsoft.com/office/drawing/2014/main" id="{5C65E1EC-F1B1-AA6E-D9A4-1C0713D56492}"/>
                </a:ext>
              </a:extLst>
            </xdr:cNvPr>
            <xdr:cNvSpPr txBox="1"/>
          </xdr:nvSpPr>
          <xdr:spPr>
            <a:xfrm>
              <a:off x="3270012" y="5233988"/>
              <a:ext cx="1248649"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903E35-9327-4DE6-ACF4-5CE52FAAC5ED}"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$ 9.290 – $ 11.613</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B17">
          <xdr:nvSpPr>
            <xdr:cNvPr id="245" name="TextBox 8">
              <a:extLst>
                <a:ext uri="{FF2B5EF4-FFF2-40B4-BE49-F238E27FC236}">
                  <a16:creationId xmlns:a16="http://schemas.microsoft.com/office/drawing/2014/main" id="{8F640F67-CBFA-5AAF-CA81-003BD9045515}"/>
                </a:ext>
              </a:extLst>
            </xdr:cNvPr>
            <xdr:cNvSpPr txBox="1"/>
          </xdr:nvSpPr>
          <xdr:spPr>
            <a:xfrm>
              <a:off x="3270012" y="5850970"/>
              <a:ext cx="1248649" cy="594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FB0828F-9E31-4698-BB23-D07D10F42C86}"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$ 13.691</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B23">
          <xdr:nvSpPr>
            <xdr:cNvPr id="246" name="TextBox 9">
              <a:extLst>
                <a:ext uri="{FF2B5EF4-FFF2-40B4-BE49-F238E27FC236}">
                  <a16:creationId xmlns:a16="http://schemas.microsoft.com/office/drawing/2014/main" id="{8E39499F-6CAE-DB3D-6815-E9BFA962686B}"/>
                </a:ext>
              </a:extLst>
            </xdr:cNvPr>
            <xdr:cNvSpPr txBox="1"/>
          </xdr:nvSpPr>
          <xdr:spPr>
            <a:xfrm>
              <a:off x="3264297" y="6502240"/>
              <a:ext cx="125626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10BD16D-15D5-4614-8F60-D6C829191583}"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a:t>
              </a:fld>
              <a:endParaRPr lang="en-GB" sz="1400" b="1">
                <a:solidFill>
                  <a:schemeClr val="tx2"/>
                </a:solidFill>
                <a:latin typeface="Segoe UI" panose="020B0502040204020203" pitchFamily="34" charset="0"/>
                <a:cs typeface="Segoe UI" panose="020B0502040204020203" pitchFamily="34" charset="0"/>
              </a:endParaRPr>
            </a:p>
          </xdr:txBody>
        </xdr:sp>
      </xdr:grpSp>
      <xdr:grpSp>
        <xdr:nvGrpSpPr>
          <xdr:cNvPr id="247" name="10%">
            <a:extLst>
              <a:ext uri="{FF2B5EF4-FFF2-40B4-BE49-F238E27FC236}">
                <a16:creationId xmlns:a16="http://schemas.microsoft.com/office/drawing/2014/main" id="{F507AFD5-4530-AF52-8EB4-A6512104217B}"/>
              </a:ext>
            </a:extLst>
          </xdr:cNvPr>
          <xdr:cNvGrpSpPr/>
        </xdr:nvGrpSpPr>
        <xdr:grpSpPr>
          <a:xfrm>
            <a:off x="4560015" y="1328896"/>
            <a:ext cx="1265794" cy="5017769"/>
            <a:chOff x="3264297" y="2057638"/>
            <a:chExt cx="1258174" cy="5002529"/>
          </a:xfrm>
        </xdr:grpSpPr>
        <xdr:sp macro="" textlink="'ROI &amp; Scenario Analysis'!C4">
          <xdr:nvSpPr>
            <xdr:cNvPr id="248" name="TextBox 42">
              <a:extLst>
                <a:ext uri="{FF2B5EF4-FFF2-40B4-BE49-F238E27FC236}">
                  <a16:creationId xmlns:a16="http://schemas.microsoft.com/office/drawing/2014/main" id="{A981344B-6875-1BEC-D2E4-20C4F4AB3EBE}"/>
                </a:ext>
              </a:extLst>
            </xdr:cNvPr>
            <xdr:cNvSpPr txBox="1"/>
          </xdr:nvSpPr>
          <xdr:spPr>
            <a:xfrm>
              <a:off x="3264297" y="2057638"/>
              <a:ext cx="1254364"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6CC6FCA-AA07-4FE7-AF05-275DFF2E75CC}"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6%</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C6">
          <xdr:nvSpPr>
            <xdr:cNvPr id="249" name="TextBox 43">
              <a:extLst>
                <a:ext uri="{FF2B5EF4-FFF2-40B4-BE49-F238E27FC236}">
                  <a16:creationId xmlns:a16="http://schemas.microsoft.com/office/drawing/2014/main" id="{CC65A5DC-9B37-D74D-0AD4-F3F9D56A2F70}"/>
                </a:ext>
              </a:extLst>
            </xdr:cNvPr>
            <xdr:cNvSpPr txBox="1"/>
          </xdr:nvSpPr>
          <xdr:spPr>
            <a:xfrm>
              <a:off x="3270012" y="2695575"/>
              <a:ext cx="124864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D0C66BC-F698-423F-A889-AEEE78CD0B24}"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2</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C7">
          <xdr:nvSpPr>
            <xdr:cNvPr id="250" name="TextBox 44">
              <a:extLst>
                <a:ext uri="{FF2B5EF4-FFF2-40B4-BE49-F238E27FC236}">
                  <a16:creationId xmlns:a16="http://schemas.microsoft.com/office/drawing/2014/main" id="{2BEBFEBF-D3E8-5C67-1B9D-9B4D7F32806A}"/>
                </a:ext>
              </a:extLst>
            </xdr:cNvPr>
            <xdr:cNvSpPr txBox="1"/>
          </xdr:nvSpPr>
          <xdr:spPr>
            <a:xfrm>
              <a:off x="3270012" y="3310652"/>
              <a:ext cx="1248649"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BE5A8C8-EE73-438E-A56B-3A6304B77CA9}"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2.500</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C8">
          <xdr:nvSpPr>
            <xdr:cNvPr id="251" name="TextBox 45">
              <a:extLst>
                <a:ext uri="{FF2B5EF4-FFF2-40B4-BE49-F238E27FC236}">
                  <a16:creationId xmlns:a16="http://schemas.microsoft.com/office/drawing/2014/main" id="{796A02FA-858E-5B84-00AC-777510000A62}"/>
                </a:ext>
              </a:extLst>
            </xdr:cNvPr>
            <xdr:cNvSpPr txBox="1"/>
          </xdr:nvSpPr>
          <xdr:spPr>
            <a:xfrm>
              <a:off x="3270012" y="3946684"/>
              <a:ext cx="1250554"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1E4AC3E-71C2-4A1C-A963-F269942A9881}"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179 – 224 litres</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C10">
          <xdr:nvSpPr>
            <xdr:cNvPr id="252" name="TextBox 46">
              <a:extLst>
                <a:ext uri="{FF2B5EF4-FFF2-40B4-BE49-F238E27FC236}">
                  <a16:creationId xmlns:a16="http://schemas.microsoft.com/office/drawing/2014/main" id="{8E5748B6-62E4-E0CC-5C66-19368268BC7D}"/>
                </a:ext>
              </a:extLst>
            </xdr:cNvPr>
            <xdr:cNvSpPr txBox="1"/>
          </xdr:nvSpPr>
          <xdr:spPr>
            <a:xfrm>
              <a:off x="3270012" y="4599861"/>
              <a:ext cx="1252459" cy="56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C99E57F-0C5F-4758-A298-264D99ADFA03}"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469 – 586 kg</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C13">
          <xdr:nvSpPr>
            <xdr:cNvPr id="253" name="TextBox 47">
              <a:extLst>
                <a:ext uri="{FF2B5EF4-FFF2-40B4-BE49-F238E27FC236}">
                  <a16:creationId xmlns:a16="http://schemas.microsoft.com/office/drawing/2014/main" id="{5FA67775-B86E-DAE7-0456-08C508DE5E00}"/>
                </a:ext>
              </a:extLst>
            </xdr:cNvPr>
            <xdr:cNvSpPr txBox="1"/>
          </xdr:nvSpPr>
          <xdr:spPr>
            <a:xfrm>
              <a:off x="3270012" y="5233988"/>
              <a:ext cx="1248649"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E786F79-6707-4520-94EB-6349D215EBC2}"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$ 4.645 – $ 5.807</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C17">
          <xdr:nvSpPr>
            <xdr:cNvPr id="254" name="TextBox 48">
              <a:extLst>
                <a:ext uri="{FF2B5EF4-FFF2-40B4-BE49-F238E27FC236}">
                  <a16:creationId xmlns:a16="http://schemas.microsoft.com/office/drawing/2014/main" id="{27DE833C-79C4-8DEC-BA87-352579831030}"/>
                </a:ext>
              </a:extLst>
            </xdr:cNvPr>
            <xdr:cNvSpPr txBox="1"/>
          </xdr:nvSpPr>
          <xdr:spPr>
            <a:xfrm>
              <a:off x="3270012" y="5850970"/>
              <a:ext cx="1248649" cy="594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B055CF3-ADC3-4A35-977D-C712DA026494}"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$ 1.345</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C23">
          <xdr:nvSpPr>
            <xdr:cNvPr id="255" name="TextBox 49">
              <a:extLst>
                <a:ext uri="{FF2B5EF4-FFF2-40B4-BE49-F238E27FC236}">
                  <a16:creationId xmlns:a16="http://schemas.microsoft.com/office/drawing/2014/main" id="{0CA72676-E4FC-1DE7-E290-C27203E799F9}"/>
                </a:ext>
              </a:extLst>
            </xdr:cNvPr>
            <xdr:cNvSpPr txBox="1"/>
          </xdr:nvSpPr>
          <xdr:spPr>
            <a:xfrm>
              <a:off x="3264297" y="6502240"/>
              <a:ext cx="125626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42B68AC-996E-465C-9FD9-8AC7D903FF85}"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4</a:t>
              </a:fld>
              <a:endParaRPr lang="en-GB" sz="1400" b="1">
                <a:solidFill>
                  <a:schemeClr val="tx2"/>
                </a:solidFill>
                <a:latin typeface="Segoe UI" panose="020B0502040204020203" pitchFamily="34" charset="0"/>
                <a:cs typeface="Segoe UI" panose="020B0502040204020203" pitchFamily="34" charset="0"/>
              </a:endParaRPr>
            </a:p>
          </xdr:txBody>
        </xdr:sp>
      </xdr:grpSp>
      <xdr:grpSp>
        <xdr:nvGrpSpPr>
          <xdr:cNvPr id="256" name="25%">
            <a:extLst>
              <a:ext uri="{FF2B5EF4-FFF2-40B4-BE49-F238E27FC236}">
                <a16:creationId xmlns:a16="http://schemas.microsoft.com/office/drawing/2014/main" id="{EC94E481-73F9-9B33-65C9-4CB19C22BD24}"/>
              </a:ext>
            </a:extLst>
          </xdr:cNvPr>
          <xdr:cNvGrpSpPr/>
        </xdr:nvGrpSpPr>
        <xdr:grpSpPr>
          <a:xfrm>
            <a:off x="5847318" y="1328896"/>
            <a:ext cx="1256269" cy="5000624"/>
            <a:chOff x="3264297" y="2057638"/>
            <a:chExt cx="1258174" cy="5002529"/>
          </a:xfrm>
        </xdr:grpSpPr>
        <xdr:sp macro="" textlink="'ROI &amp; Scenario Analysis'!D4">
          <xdr:nvSpPr>
            <xdr:cNvPr id="257" name="TextBox 51">
              <a:extLst>
                <a:ext uri="{FF2B5EF4-FFF2-40B4-BE49-F238E27FC236}">
                  <a16:creationId xmlns:a16="http://schemas.microsoft.com/office/drawing/2014/main" id="{2DABFE0A-2256-9C26-EE40-7C588657D690}"/>
                </a:ext>
              </a:extLst>
            </xdr:cNvPr>
            <xdr:cNvSpPr txBox="1"/>
          </xdr:nvSpPr>
          <xdr:spPr>
            <a:xfrm>
              <a:off x="3264297" y="2057638"/>
              <a:ext cx="1254364"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EE1AFAB-E15B-47EA-869B-7EB551B2EE66}"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15%</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D6">
          <xdr:nvSpPr>
            <xdr:cNvPr id="258" name="TextBox 52">
              <a:extLst>
                <a:ext uri="{FF2B5EF4-FFF2-40B4-BE49-F238E27FC236}">
                  <a16:creationId xmlns:a16="http://schemas.microsoft.com/office/drawing/2014/main" id="{010D52B4-02E3-002D-577D-6E398C054239}"/>
                </a:ext>
              </a:extLst>
            </xdr:cNvPr>
            <xdr:cNvSpPr txBox="1"/>
          </xdr:nvSpPr>
          <xdr:spPr>
            <a:xfrm>
              <a:off x="3270012" y="2695575"/>
              <a:ext cx="124864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968365B-48A4-49EF-AEFA-995D33A8B6A6}"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5</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D7">
          <xdr:nvSpPr>
            <xdr:cNvPr id="259" name="TextBox 53">
              <a:extLst>
                <a:ext uri="{FF2B5EF4-FFF2-40B4-BE49-F238E27FC236}">
                  <a16:creationId xmlns:a16="http://schemas.microsoft.com/office/drawing/2014/main" id="{EED72DA4-FC46-FCE8-EF8B-890F5C9B33F9}"/>
                </a:ext>
              </a:extLst>
            </xdr:cNvPr>
            <xdr:cNvSpPr txBox="1"/>
          </xdr:nvSpPr>
          <xdr:spPr>
            <a:xfrm>
              <a:off x="3270012" y="3310652"/>
              <a:ext cx="1248649"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42AD324-499F-46C0-AFA8-B8167071CC16}"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6.250</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D8">
          <xdr:nvSpPr>
            <xdr:cNvPr id="260" name="TextBox 54">
              <a:extLst>
                <a:ext uri="{FF2B5EF4-FFF2-40B4-BE49-F238E27FC236}">
                  <a16:creationId xmlns:a16="http://schemas.microsoft.com/office/drawing/2014/main" id="{C6C2D3FD-2EF9-3C5D-9A50-1DF9F66BCD58}"/>
                </a:ext>
              </a:extLst>
            </xdr:cNvPr>
            <xdr:cNvSpPr txBox="1"/>
          </xdr:nvSpPr>
          <xdr:spPr>
            <a:xfrm>
              <a:off x="3270012" y="3946684"/>
              <a:ext cx="1250554"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FF84327-0AD0-4E9B-82C4-6A661C13CAA0}"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448 – 560 litres</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D10">
          <xdr:nvSpPr>
            <xdr:cNvPr id="261" name="TextBox 55">
              <a:extLst>
                <a:ext uri="{FF2B5EF4-FFF2-40B4-BE49-F238E27FC236}">
                  <a16:creationId xmlns:a16="http://schemas.microsoft.com/office/drawing/2014/main" id="{8BF95099-FF42-D57A-FC64-3738B3ACDB39}"/>
                </a:ext>
              </a:extLst>
            </xdr:cNvPr>
            <xdr:cNvSpPr txBox="1"/>
          </xdr:nvSpPr>
          <xdr:spPr>
            <a:xfrm>
              <a:off x="3270012" y="4599861"/>
              <a:ext cx="1252459" cy="56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94EA71C-8072-4895-8360-36B156EB0175}"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1173 – 1466 kg</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D13">
          <xdr:nvSpPr>
            <xdr:cNvPr id="262" name="TextBox 56">
              <a:extLst>
                <a:ext uri="{FF2B5EF4-FFF2-40B4-BE49-F238E27FC236}">
                  <a16:creationId xmlns:a16="http://schemas.microsoft.com/office/drawing/2014/main" id="{841E5EE3-DA2B-DD40-65CD-C975AF416DF7}"/>
                </a:ext>
              </a:extLst>
            </xdr:cNvPr>
            <xdr:cNvSpPr txBox="1"/>
          </xdr:nvSpPr>
          <xdr:spPr>
            <a:xfrm>
              <a:off x="3270012" y="5233988"/>
              <a:ext cx="1248649"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DFE8313-CC01-4E75-A5E6-0F4DBEF0E869}"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$ 11.613 – $ 14.516</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D17">
          <xdr:nvSpPr>
            <xdr:cNvPr id="263" name="TextBox 57">
              <a:extLst>
                <a:ext uri="{FF2B5EF4-FFF2-40B4-BE49-F238E27FC236}">
                  <a16:creationId xmlns:a16="http://schemas.microsoft.com/office/drawing/2014/main" id="{60B61BEE-3F9A-E191-710F-A0153EEB8FD0}"/>
                </a:ext>
              </a:extLst>
            </xdr:cNvPr>
            <xdr:cNvSpPr txBox="1"/>
          </xdr:nvSpPr>
          <xdr:spPr>
            <a:xfrm>
              <a:off x="3270012" y="5850970"/>
              <a:ext cx="1248649" cy="594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DD4631E-9243-4A3B-8E16-9F367F7683FD}"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$ 19.864</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D23">
          <xdr:nvSpPr>
            <xdr:cNvPr id="264" name="TextBox 58">
              <a:extLst>
                <a:ext uri="{FF2B5EF4-FFF2-40B4-BE49-F238E27FC236}">
                  <a16:creationId xmlns:a16="http://schemas.microsoft.com/office/drawing/2014/main" id="{C435A8A5-EED2-F615-68FA-B8CD5938E997}"/>
                </a:ext>
              </a:extLst>
            </xdr:cNvPr>
            <xdr:cNvSpPr txBox="1"/>
          </xdr:nvSpPr>
          <xdr:spPr>
            <a:xfrm>
              <a:off x="3264297" y="6502240"/>
              <a:ext cx="125626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95E476F-6427-40E7-8947-8680086B23CF}"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a:t>
              </a:fld>
              <a:endParaRPr lang="en-GB" sz="1400" b="1">
                <a:solidFill>
                  <a:schemeClr val="tx2"/>
                </a:solidFill>
                <a:latin typeface="Segoe UI" panose="020B0502040204020203" pitchFamily="34" charset="0"/>
                <a:cs typeface="Segoe UI" panose="020B0502040204020203" pitchFamily="34" charset="0"/>
              </a:endParaRPr>
            </a:p>
          </xdr:txBody>
        </xdr:sp>
      </xdr:grpSp>
      <xdr:grpSp>
        <xdr:nvGrpSpPr>
          <xdr:cNvPr id="265" name="50%">
            <a:extLst>
              <a:ext uri="{FF2B5EF4-FFF2-40B4-BE49-F238E27FC236}">
                <a16:creationId xmlns:a16="http://schemas.microsoft.com/office/drawing/2014/main" id="{14873C95-08E1-742E-3FE0-7C574924E75A}"/>
              </a:ext>
            </a:extLst>
          </xdr:cNvPr>
          <xdr:cNvGrpSpPr/>
        </xdr:nvGrpSpPr>
        <xdr:grpSpPr>
          <a:xfrm>
            <a:off x="7172800" y="1328896"/>
            <a:ext cx="1250554" cy="5000624"/>
            <a:chOff x="3264297" y="2057638"/>
            <a:chExt cx="1258174" cy="5002529"/>
          </a:xfrm>
        </xdr:grpSpPr>
        <xdr:sp macro="" textlink="'ROI &amp; Scenario Analysis'!E4">
          <xdr:nvSpPr>
            <xdr:cNvPr id="266" name="TextBox 60">
              <a:extLst>
                <a:ext uri="{FF2B5EF4-FFF2-40B4-BE49-F238E27FC236}">
                  <a16:creationId xmlns:a16="http://schemas.microsoft.com/office/drawing/2014/main" id="{B216D663-ED4C-6BC9-D88E-42356003FE2D}"/>
                </a:ext>
              </a:extLst>
            </xdr:cNvPr>
            <xdr:cNvSpPr txBox="1"/>
          </xdr:nvSpPr>
          <xdr:spPr>
            <a:xfrm>
              <a:off x="3264297" y="2057638"/>
              <a:ext cx="1254364"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93AFE92-841B-4F3A-A6F8-36470468A58B}"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30%</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E6">
          <xdr:nvSpPr>
            <xdr:cNvPr id="267" name="TextBox 61">
              <a:extLst>
                <a:ext uri="{FF2B5EF4-FFF2-40B4-BE49-F238E27FC236}">
                  <a16:creationId xmlns:a16="http://schemas.microsoft.com/office/drawing/2014/main" id="{D7396492-4B20-ECCC-F162-17EB4A9BB9E0}"/>
                </a:ext>
              </a:extLst>
            </xdr:cNvPr>
            <xdr:cNvSpPr txBox="1"/>
          </xdr:nvSpPr>
          <xdr:spPr>
            <a:xfrm>
              <a:off x="3270012" y="2695575"/>
              <a:ext cx="124864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BB78E94-F42A-421A-A6BB-580773378026}"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11</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E7">
          <xdr:nvSpPr>
            <xdr:cNvPr id="268" name="TextBox 62">
              <a:extLst>
                <a:ext uri="{FF2B5EF4-FFF2-40B4-BE49-F238E27FC236}">
                  <a16:creationId xmlns:a16="http://schemas.microsoft.com/office/drawing/2014/main" id="{AAF9DB2D-F9C0-FB90-7CB8-359CB7240CAB}"/>
                </a:ext>
              </a:extLst>
            </xdr:cNvPr>
            <xdr:cNvSpPr txBox="1"/>
          </xdr:nvSpPr>
          <xdr:spPr>
            <a:xfrm>
              <a:off x="3270012" y="3310652"/>
              <a:ext cx="1248649"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E4200A8-1C4C-4526-BF09-50480BD0E937}"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12.500</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E8">
          <xdr:nvSpPr>
            <xdr:cNvPr id="269" name="TextBox 63">
              <a:extLst>
                <a:ext uri="{FF2B5EF4-FFF2-40B4-BE49-F238E27FC236}">
                  <a16:creationId xmlns:a16="http://schemas.microsoft.com/office/drawing/2014/main" id="{1B16F2A8-9F53-D074-2405-0788A75A9548}"/>
                </a:ext>
              </a:extLst>
            </xdr:cNvPr>
            <xdr:cNvSpPr txBox="1"/>
          </xdr:nvSpPr>
          <xdr:spPr>
            <a:xfrm>
              <a:off x="3270012" y="3946684"/>
              <a:ext cx="1250554" cy="5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C0E115-6089-439C-BB9D-323DA7593B33}"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896 – 1120 litres</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E10">
          <xdr:nvSpPr>
            <xdr:cNvPr id="270" name="TextBox 64">
              <a:extLst>
                <a:ext uri="{FF2B5EF4-FFF2-40B4-BE49-F238E27FC236}">
                  <a16:creationId xmlns:a16="http://schemas.microsoft.com/office/drawing/2014/main" id="{BEA2002E-5B67-04A9-5CC5-C796C8F7CBD2}"/>
                </a:ext>
              </a:extLst>
            </xdr:cNvPr>
            <xdr:cNvSpPr txBox="1"/>
          </xdr:nvSpPr>
          <xdr:spPr>
            <a:xfrm>
              <a:off x="3270012" y="4599861"/>
              <a:ext cx="1252459" cy="56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0F2377B-60A7-4692-ACE7-55F9EE2ED9FA}"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2345 – 2931 kg</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E13">
          <xdr:nvSpPr>
            <xdr:cNvPr id="271" name="TextBox 65">
              <a:extLst>
                <a:ext uri="{FF2B5EF4-FFF2-40B4-BE49-F238E27FC236}">
                  <a16:creationId xmlns:a16="http://schemas.microsoft.com/office/drawing/2014/main" id="{302D5EC5-07BE-C358-DDA4-A06797ADDA91}"/>
                </a:ext>
              </a:extLst>
            </xdr:cNvPr>
            <xdr:cNvSpPr txBox="1"/>
          </xdr:nvSpPr>
          <xdr:spPr>
            <a:xfrm>
              <a:off x="3270012" y="5233988"/>
              <a:ext cx="1248649" cy="576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9314A70-D635-42B5-91D6-C30B3524DBDE}" type="TxLink">
                <a:rPr lang="en-US" sz="1100" b="1" i="0" u="none" strike="noStrike">
                  <a:solidFill>
                    <a:schemeClr val="tx2"/>
                  </a:solidFill>
                  <a:latin typeface="Segoe UI" panose="020B0502040204020203" pitchFamily="34" charset="0"/>
                  <a:ea typeface="Calibri"/>
                  <a:cs typeface="Segoe UI" panose="020B0502040204020203" pitchFamily="34" charset="0"/>
                </a:rPr>
                <a:pPr algn="ctr"/>
                <a:t>$ 23.226 – $ 29.033</a:t>
              </a:fld>
              <a:endParaRPr lang="en-GB" sz="1100" b="1">
                <a:solidFill>
                  <a:schemeClr val="tx2"/>
                </a:solidFill>
                <a:latin typeface="Segoe UI" panose="020B0502040204020203" pitchFamily="34" charset="0"/>
                <a:cs typeface="Segoe UI" panose="020B0502040204020203" pitchFamily="34" charset="0"/>
              </a:endParaRPr>
            </a:p>
          </xdr:txBody>
        </xdr:sp>
        <xdr:sp macro="" textlink="'ROI &amp; Scenario Analysis'!E17">
          <xdr:nvSpPr>
            <xdr:cNvPr id="272" name="TextBox 66">
              <a:extLst>
                <a:ext uri="{FF2B5EF4-FFF2-40B4-BE49-F238E27FC236}">
                  <a16:creationId xmlns:a16="http://schemas.microsoft.com/office/drawing/2014/main" id="{3388A574-A1DD-24CC-5AE7-06E93DAEA12D}"/>
                </a:ext>
              </a:extLst>
            </xdr:cNvPr>
            <xdr:cNvSpPr txBox="1"/>
          </xdr:nvSpPr>
          <xdr:spPr>
            <a:xfrm>
              <a:off x="3270012" y="5850970"/>
              <a:ext cx="1248649" cy="594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E04BAC8-4222-43C9-9ECA-287AE77E18A4}"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$ 50.727</a:t>
              </a:fld>
              <a:endParaRPr lang="en-GB" sz="1400" b="1">
                <a:solidFill>
                  <a:schemeClr val="tx2"/>
                </a:solidFill>
                <a:latin typeface="Segoe UI" panose="020B0502040204020203" pitchFamily="34" charset="0"/>
                <a:cs typeface="Segoe UI" panose="020B0502040204020203" pitchFamily="34" charset="0"/>
              </a:endParaRPr>
            </a:p>
          </xdr:txBody>
        </xdr:sp>
        <xdr:sp macro="" textlink="'ROI &amp; Scenario Analysis'!E23">
          <xdr:nvSpPr>
            <xdr:cNvPr id="273" name="TextBox 67">
              <a:extLst>
                <a:ext uri="{FF2B5EF4-FFF2-40B4-BE49-F238E27FC236}">
                  <a16:creationId xmlns:a16="http://schemas.microsoft.com/office/drawing/2014/main" id="{07D162F3-B449-842D-B4D2-3F1B9D9668C7}"/>
                </a:ext>
              </a:extLst>
            </xdr:cNvPr>
            <xdr:cNvSpPr txBox="1"/>
          </xdr:nvSpPr>
          <xdr:spPr>
            <a:xfrm>
              <a:off x="3264297" y="6502240"/>
              <a:ext cx="1256269" cy="557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E84A25A-505B-4541-B0A2-937B54E810DB}" type="TxLink">
                <a:rPr lang="en-US" sz="1400" b="1" i="0" u="none" strike="noStrike">
                  <a:solidFill>
                    <a:schemeClr val="tx2"/>
                  </a:solidFill>
                  <a:latin typeface="Segoe UI" panose="020B0502040204020203" pitchFamily="34" charset="0"/>
                  <a:ea typeface="Calibri"/>
                  <a:cs typeface="Segoe UI" panose="020B0502040204020203" pitchFamily="34" charset="0"/>
                </a:rPr>
                <a:pPr algn="ctr"/>
                <a:t>1</a:t>
              </a:fld>
              <a:endParaRPr lang="en-GB" sz="1400" b="1">
                <a:solidFill>
                  <a:schemeClr val="tx2"/>
                </a:solidFill>
                <a:latin typeface="Segoe UI" panose="020B0502040204020203" pitchFamily="34" charset="0"/>
                <a:cs typeface="Segoe UI" panose="020B0502040204020203" pitchFamily="34" charset="0"/>
              </a:endParaRPr>
            </a:p>
          </xdr:txBody>
        </xdr:sp>
      </xdr:grpSp>
    </xdr:grpSp>
    <xdr:clientData/>
  </xdr:twoCellAnchor>
  <xdr:twoCellAnchor editAs="absolute">
    <xdr:from>
      <xdr:col>17</xdr:col>
      <xdr:colOff>1509</xdr:colOff>
      <xdr:row>8</xdr:row>
      <xdr:rowOff>36029</xdr:rowOff>
    </xdr:from>
    <xdr:to>
      <xdr:col>24</xdr:col>
      <xdr:colOff>365204</xdr:colOff>
      <xdr:row>33</xdr:row>
      <xdr:rowOff>32226</xdr:rowOff>
    </xdr:to>
    <xdr:sp macro="" textlink="">
      <xdr:nvSpPr>
        <xdr:cNvPr id="69" name="TextBox 68">
          <a:extLst>
            <a:ext uri="{FF2B5EF4-FFF2-40B4-BE49-F238E27FC236}">
              <a16:creationId xmlns:a16="http://schemas.microsoft.com/office/drawing/2014/main" id="{B6B59E89-06E1-41E1-8883-EA1A4568B1C2}"/>
            </a:ext>
          </a:extLst>
        </xdr:cNvPr>
        <xdr:cNvSpPr txBox="1"/>
      </xdr:nvSpPr>
      <xdr:spPr>
        <a:xfrm>
          <a:off x="10269459" y="1483829"/>
          <a:ext cx="4764245" cy="4520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0"/>
            <a:t>This table shows the estimated impact of your ride sharing scenario on fleet costs, fuel/energy use, and CO₂ emissions. The column titled "Your Chosen Scenario" reflects the sharing percentage you selected in the General Info tab.</a:t>
          </a:r>
        </a:p>
        <a:p>
          <a:endParaRPr lang="en-GB" b="0"/>
        </a:p>
        <a:p>
          <a:r>
            <a:rPr lang="en-GB" b="0"/>
            <a:t>You can compare how different sharing levels (10%, 25%, and 50%) affect your fleet by viewing the following for each scenario:</a:t>
          </a:r>
        </a:p>
        <a:p>
          <a:r>
            <a:rPr lang="en-GB" b="1"/>
            <a:t>Fleet size reduction</a:t>
          </a:r>
          <a:r>
            <a:rPr lang="en-GB" b="0"/>
            <a:t>: How many vehicles can be removed from your fleet.</a:t>
          </a:r>
        </a:p>
        <a:p>
          <a:r>
            <a:rPr lang="en-GB" b="0"/>
            <a:t>Kilometers and fuel/energy saved: The reduction in distance traveled and fuel/energy usage.</a:t>
          </a:r>
          <a:br>
            <a:rPr lang="en-GB" b="0"/>
          </a:br>
          <a:endParaRPr lang="en-GB" b="0"/>
        </a:p>
        <a:p>
          <a:r>
            <a:rPr lang="en-GB" b="1"/>
            <a:t>Cost savings</a:t>
          </a:r>
          <a:r>
            <a:rPr lang="en-GB" b="0"/>
            <a:t>: Including both variable and fixed costs.</a:t>
          </a:r>
        </a:p>
        <a:p>
          <a:r>
            <a:rPr lang="en-GB" b="0"/>
            <a:t>Emissions reductions: The amount of CO₂ emissions saved.</a:t>
          </a:r>
        </a:p>
        <a:p>
          <a:r>
            <a:rPr lang="en-GB" b="0"/>
            <a:t>Payback period and net savings: How soon you’ll recover your investment and the overall savings.</a:t>
          </a:r>
          <a:br>
            <a:rPr lang="en-GB" b="0"/>
          </a:br>
          <a:endParaRPr lang="en-GB" b="0"/>
        </a:p>
        <a:p>
          <a:r>
            <a:rPr lang="en-GB" b="1"/>
            <a:t>Important distinction</a:t>
          </a:r>
          <a:r>
            <a:rPr lang="en-GB" b="0"/>
            <a:t>:</a:t>
          </a:r>
        </a:p>
        <a:p>
          <a:r>
            <a:rPr lang="en-GB" b="0"/>
            <a:t>Total Cost Savings shows the overall savings from operational costs, including fuel, maintenance, and leasing costs.</a:t>
          </a:r>
        </a:p>
        <a:p>
          <a:r>
            <a:rPr lang="en-GB" b="0"/>
            <a:t>Net Savings accounts for depreciation and insurance savings if you reduce the number of vehicles in your fleet. This gives you a more accurate picture of your true financial benefit.</a:t>
          </a:r>
        </a:p>
        <a:p>
          <a:endParaRPr lang="en-GB" b="0"/>
        </a:p>
        <a:p>
          <a:r>
            <a:rPr lang="en-GB" b="1">
              <a:solidFill>
                <a:schemeClr val="tx2"/>
              </a:solidFill>
            </a:rPr>
            <a:t>Want to see more details?</a:t>
          </a:r>
        </a:p>
        <a:p>
          <a:r>
            <a:rPr lang="en-GB" b="0"/>
            <a:t>If you’d like a more detailed breakdown of the numbers, click the button below for a deeper analysis of each scenario.</a:t>
          </a:r>
        </a:p>
      </xdr:txBody>
    </xdr:sp>
    <xdr:clientData/>
  </xdr:twoCellAnchor>
  <xdr:twoCellAnchor editAs="absolute">
    <xdr:from>
      <xdr:col>19</xdr:col>
      <xdr:colOff>229413</xdr:colOff>
      <xdr:row>2</xdr:row>
      <xdr:rowOff>170576</xdr:rowOff>
    </xdr:from>
    <xdr:to>
      <xdr:col>20</xdr:col>
      <xdr:colOff>523338</xdr:colOff>
      <xdr:row>8</xdr:row>
      <xdr:rowOff>19129</xdr:rowOff>
    </xdr:to>
    <xdr:pic>
      <xdr:nvPicPr>
        <xdr:cNvPr id="70" name="Graphic 69" descr="Information with solid fill">
          <a:extLst>
            <a:ext uri="{FF2B5EF4-FFF2-40B4-BE49-F238E27FC236}">
              <a16:creationId xmlns:a16="http://schemas.microsoft.com/office/drawing/2014/main" id="{AD46C5F4-3DB2-435D-BE8A-65FCE9D2903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330086" y="527764"/>
          <a:ext cx="910590" cy="902970"/>
        </a:xfrm>
        <a:prstGeom prst="rect">
          <a:avLst/>
        </a:prstGeom>
      </xdr:spPr>
    </xdr:pic>
    <xdr:clientData/>
  </xdr:twoCellAnchor>
  <xdr:twoCellAnchor>
    <xdr:from>
      <xdr:col>18</xdr:col>
      <xdr:colOff>339248</xdr:colOff>
      <xdr:row>31</xdr:row>
      <xdr:rowOff>143114</xdr:rowOff>
    </xdr:from>
    <xdr:to>
      <xdr:col>23</xdr:col>
      <xdr:colOff>74213</xdr:colOff>
      <xdr:row>36</xdr:row>
      <xdr:rowOff>29290</xdr:rowOff>
    </xdr:to>
    <xdr:grpSp>
      <xdr:nvGrpSpPr>
        <xdr:cNvPr id="71" name="Button">
          <a:hlinkClick xmlns:r="http://schemas.openxmlformats.org/officeDocument/2006/relationships" r:id="rId5"/>
          <a:extLst>
            <a:ext uri="{FF2B5EF4-FFF2-40B4-BE49-F238E27FC236}">
              <a16:creationId xmlns:a16="http://schemas.microsoft.com/office/drawing/2014/main" id="{9B499724-2A01-40C6-8317-FAED35047864}"/>
            </a:ext>
          </a:extLst>
        </xdr:cNvPr>
        <xdr:cNvGrpSpPr/>
      </xdr:nvGrpSpPr>
      <xdr:grpSpPr>
        <a:xfrm>
          <a:off x="11235848" y="5751434"/>
          <a:ext cx="2878215" cy="791051"/>
          <a:chOff x="10193763" y="4142477"/>
          <a:chExt cx="2770662" cy="779145"/>
        </a:xfrm>
      </xdr:grpSpPr>
      <xdr:sp macro="" textlink="">
        <xdr:nvSpPr>
          <xdr:cNvPr id="72" name="Rectangle: Rounded Corners 71">
            <a:hlinkClick xmlns:r="http://schemas.openxmlformats.org/officeDocument/2006/relationships" r:id="rId5"/>
            <a:extLst>
              <a:ext uri="{FF2B5EF4-FFF2-40B4-BE49-F238E27FC236}">
                <a16:creationId xmlns:a16="http://schemas.microsoft.com/office/drawing/2014/main" id="{13A94ABB-4B75-4686-385D-48D2A2BFC14B}"/>
              </a:ext>
            </a:extLst>
          </xdr:cNvPr>
          <xdr:cNvSpPr/>
        </xdr:nvSpPr>
        <xdr:spPr>
          <a:xfrm>
            <a:off x="10193763" y="4292605"/>
            <a:ext cx="2770662" cy="465581"/>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73" name="Graphic 72" descr="Arrow Right with solid fill">
            <a:extLst>
              <a:ext uri="{FF2B5EF4-FFF2-40B4-BE49-F238E27FC236}">
                <a16:creationId xmlns:a16="http://schemas.microsoft.com/office/drawing/2014/main" id="{6060B63D-D109-8FDD-CC31-D28C4466361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2163648" y="4142477"/>
            <a:ext cx="734435" cy="779145"/>
          </a:xfrm>
          <a:prstGeom prst="rect">
            <a:avLst/>
          </a:prstGeom>
        </xdr:spPr>
      </xdr:pic>
      <xdr:sp macro="" textlink="">
        <xdr:nvSpPr>
          <xdr:cNvPr id="74" name="TextBox 73">
            <a:hlinkClick xmlns:r="http://schemas.openxmlformats.org/officeDocument/2006/relationships" r:id="rId5"/>
            <a:extLst>
              <a:ext uri="{FF2B5EF4-FFF2-40B4-BE49-F238E27FC236}">
                <a16:creationId xmlns:a16="http://schemas.microsoft.com/office/drawing/2014/main" id="{4079F39A-F1C9-48AB-18DB-384EAF054110}"/>
              </a:ext>
            </a:extLst>
          </xdr:cNvPr>
          <xdr:cNvSpPr txBox="1"/>
        </xdr:nvSpPr>
        <xdr:spPr>
          <a:xfrm>
            <a:off x="10263744" y="4385811"/>
            <a:ext cx="1878043" cy="285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bg1"/>
                </a:solidFill>
              </a:rPr>
              <a:t>Detailed</a:t>
            </a:r>
            <a:r>
              <a:rPr lang="en-GB" sz="1200" b="1" baseline="0">
                <a:solidFill>
                  <a:schemeClr val="bg1"/>
                </a:solidFill>
              </a:rPr>
              <a:t> ROI Analysis</a:t>
            </a:r>
            <a:endParaRPr lang="en-GB" sz="12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0</xdr:colOff>
      <xdr:row>1</xdr:row>
      <xdr:rowOff>0</xdr:rowOff>
    </xdr:from>
    <xdr:to>
      <xdr:col>31</xdr:col>
      <xdr:colOff>327117</xdr:colOff>
      <xdr:row>14</xdr:row>
      <xdr:rowOff>106951</xdr:rowOff>
    </xdr:to>
    <xdr:sp macro="" textlink="">
      <xdr:nvSpPr>
        <xdr:cNvPr id="3" name="TextBox 2">
          <a:extLst>
            <a:ext uri="{FF2B5EF4-FFF2-40B4-BE49-F238E27FC236}">
              <a16:creationId xmlns:a16="http://schemas.microsoft.com/office/drawing/2014/main" id="{CEDBAC1D-8E51-488C-88B5-F85155527E5C}"/>
            </a:ext>
          </a:extLst>
        </xdr:cNvPr>
        <xdr:cNvSpPr txBox="1"/>
      </xdr:nvSpPr>
      <xdr:spPr>
        <a:xfrm>
          <a:off x="19485429" y="1265464"/>
          <a:ext cx="6450331" cy="5236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b="1"/>
        </a:p>
        <a:p>
          <a:endParaRPr lang="en-GB"/>
        </a:p>
        <a:p>
          <a:r>
            <a:rPr lang="en-GB"/>
            <a:t>“A sharing level is the percentage of your organisation’s transport demand that you expect to cover using shared vehicles instead of your own.”</a:t>
          </a:r>
          <a:endParaRPr lang="en-GB" b="1"/>
        </a:p>
        <a:p>
          <a:r>
            <a:rPr lang="en-GB" b="1"/>
            <a:t>What is a Sharing Level?</a:t>
          </a:r>
          <a:br>
            <a:rPr lang="en-GB"/>
          </a:br>
          <a:r>
            <a:rPr lang="en-GB"/>
            <a:t>A sharing level represents how much of your transport activity you want to carry out using shared vehicles.</a:t>
          </a:r>
          <a:br>
            <a:rPr lang="en-GB"/>
          </a:br>
          <a:r>
            <a:rPr lang="en-GB"/>
            <a:t>For example:</a:t>
          </a:r>
        </a:p>
        <a:p>
          <a:r>
            <a:rPr lang="en-GB"/>
            <a:t>A </a:t>
          </a:r>
          <a:r>
            <a:rPr lang="en-GB" b="1"/>
            <a:t>25% sharing level</a:t>
          </a:r>
          <a:r>
            <a:rPr lang="en-GB"/>
            <a:t> means you aim to do 1 in 4 trips (or use 1 in 4 vehicles) through the sharing scheme.</a:t>
          </a:r>
        </a:p>
        <a:p>
          <a:r>
            <a:rPr lang="en-GB"/>
            <a:t>A </a:t>
          </a:r>
          <a:r>
            <a:rPr lang="en-GB" b="1"/>
            <a:t>50% sharing level</a:t>
          </a:r>
          <a:r>
            <a:rPr lang="en-GB"/>
            <a:t> means half of your usual vehicle needs will be met by shared vehicles.</a:t>
          </a:r>
        </a:p>
        <a:p>
          <a:r>
            <a:rPr lang="en-GB"/>
            <a:t>This percentage will help calculate:</a:t>
          </a:r>
        </a:p>
        <a:p>
          <a:r>
            <a:rPr lang="en-GB"/>
            <a:t>How many vehicles you could potentially reduce</a:t>
          </a:r>
        </a:p>
        <a:p>
          <a:r>
            <a:rPr lang="en-GB"/>
            <a:t>How much you could save in fuel, rental, and insurance</a:t>
          </a:r>
        </a:p>
        <a:p>
          <a:r>
            <a:rPr lang="en-GB"/>
            <a:t>How much CO₂ emissions could be avoided</a:t>
          </a:r>
        </a:p>
        <a:p>
          <a:endParaRPr lang="en-GB"/>
        </a:p>
        <a:p>
          <a:r>
            <a:rPr lang="en-GB" b="1"/>
            <a:t>📉Where It Comes From</a:t>
          </a:r>
        </a:p>
        <a:p>
          <a:r>
            <a:rPr lang="en-GB"/>
            <a:t>You can base the sharing level on:</a:t>
          </a:r>
        </a:p>
        <a:p>
          <a:r>
            <a:rPr lang="en-GB" b="1"/>
            <a:t>Trip-level estimates</a:t>
          </a:r>
          <a:r>
            <a:rPr lang="en-GB"/>
            <a:t> – e.g. “We could do 40% of our trips with shared sedans”</a:t>
          </a:r>
        </a:p>
        <a:p>
          <a:r>
            <a:rPr lang="en-GB" b="1"/>
            <a:t>Vehicle-level estimates</a:t>
          </a:r>
          <a:r>
            <a:rPr lang="en-GB"/>
            <a:t> – e.g. “We think we could operate with 3 fewer 4x4s if we joined the scheme”</a:t>
          </a:r>
        </a:p>
        <a:p>
          <a:r>
            <a:rPr lang="en-GB" b="1"/>
            <a:t>Policy goals</a:t>
          </a:r>
          <a:r>
            <a:rPr lang="en-GB"/>
            <a:t> – e.g. “We want to reduce our fleet size by 20% over the next year”</a:t>
          </a:r>
        </a:p>
        <a:p>
          <a:r>
            <a:rPr lang="en-GB" b="1"/>
            <a:t>🛠️ How It Works in the Tool</a:t>
          </a:r>
        </a:p>
        <a:p>
          <a:r>
            <a:rPr lang="en-GB"/>
            <a:t>You (or the user) enter one or more sharing levels to simulate:</a:t>
          </a:r>
        </a:p>
        <a:p>
          <a:r>
            <a:rPr lang="en-GB" b="1"/>
            <a:t>10% sharing</a:t>
          </a:r>
          <a:r>
            <a:rPr lang="en-GB"/>
            <a:t> → minimal engagement</a:t>
          </a:r>
        </a:p>
        <a:p>
          <a:r>
            <a:rPr lang="en-GB" b="1"/>
            <a:t>25% sharing</a:t>
          </a:r>
          <a:r>
            <a:rPr lang="en-GB"/>
            <a:t> → moderate engagement</a:t>
          </a:r>
        </a:p>
        <a:p>
          <a:r>
            <a:rPr lang="en-GB" b="1"/>
            <a:t>50% sharing</a:t>
          </a:r>
          <a:r>
            <a:rPr lang="en-GB"/>
            <a:t> → full integration</a:t>
          </a:r>
        </a:p>
        <a:p>
          <a:endParaRPr lang="en-GB"/>
        </a:p>
        <a:p>
          <a:r>
            <a:rPr lang="en-GB"/>
            <a:t>The tool will then show what this means in:</a:t>
          </a:r>
        </a:p>
        <a:p>
          <a:r>
            <a:rPr lang="en-GB"/>
            <a:t>Estimated vehicles reduced</a:t>
          </a:r>
        </a:p>
        <a:p>
          <a:r>
            <a:rPr lang="en-GB"/>
            <a:t>Monthly cost savings</a:t>
          </a:r>
        </a:p>
        <a:p>
          <a:r>
            <a:rPr lang="en-GB"/>
            <a:t>CO₂ reductions</a:t>
          </a:r>
        </a:p>
        <a:p>
          <a:endParaRPr lang="en-GB"/>
        </a:p>
        <a:p>
          <a:endParaRPr lang="en-GB" sz="1100"/>
        </a:p>
      </xdr:txBody>
    </xdr:sp>
    <xdr:clientData/>
  </xdr:twoCellAnchor>
  <xdr:twoCellAnchor>
    <xdr:from>
      <xdr:col>18</xdr:col>
      <xdr:colOff>524828</xdr:colOff>
      <xdr:row>16</xdr:row>
      <xdr:rowOff>155258</xdr:rowOff>
    </xdr:from>
    <xdr:to>
      <xdr:col>28</xdr:col>
      <xdr:colOff>340043</xdr:colOff>
      <xdr:row>34</xdr:row>
      <xdr:rowOff>138113</xdr:rowOff>
    </xdr:to>
    <xdr:sp macro="" textlink="">
      <xdr:nvSpPr>
        <xdr:cNvPr id="4" name="TextBox 3">
          <a:extLst>
            <a:ext uri="{FF2B5EF4-FFF2-40B4-BE49-F238E27FC236}">
              <a16:creationId xmlns:a16="http://schemas.microsoft.com/office/drawing/2014/main" id="{5A574062-D9BA-3472-C32C-5787ECCC913D}"/>
            </a:ext>
          </a:extLst>
        </xdr:cNvPr>
        <xdr:cNvSpPr txBox="1"/>
      </xdr:nvSpPr>
      <xdr:spPr>
        <a:xfrm>
          <a:off x="30576203" y="3012758"/>
          <a:ext cx="6006465" cy="436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What this sheet needs to calculate</a:t>
          </a:r>
        </a:p>
        <a:p>
          <a:r>
            <a:rPr lang="en-GB" b="1"/>
            <a:t>1. Total current fleet costs</a:t>
          </a:r>
        </a:p>
        <a:p>
          <a:r>
            <a:rPr lang="en-GB"/>
            <a:t>All monthly costs per vehicle type (fuel, lease/rent, insurance, maintenance, depreciation, etc.)</a:t>
          </a:r>
        </a:p>
        <a:p>
          <a:r>
            <a:rPr lang="en-GB"/>
            <a:t>Total cost for all vehicles (sum across types)</a:t>
          </a:r>
        </a:p>
        <a:p>
          <a:r>
            <a:rPr lang="en-GB" b="1"/>
            <a:t>2. Potential cost reductions</a:t>
          </a:r>
        </a:p>
        <a:p>
          <a:r>
            <a:rPr lang="en-GB"/>
            <a:t>From reduced use (variable costs: fuel, some maintenance) due to vehicle sharing (e.g., shifting 10% of demand)</a:t>
          </a:r>
        </a:p>
        <a:p>
          <a:r>
            <a:rPr lang="en-GB"/>
            <a:t>From reduced fleet size (removing vehicles: cuts fixed costs, e.g., insurance, depreciation, full maintenance)</a:t>
          </a:r>
        </a:p>
        <a:p>
          <a:r>
            <a:rPr lang="en-GB" b="1"/>
            <a:t>3. CO₂/emissions reduction</a:t>
          </a:r>
        </a:p>
        <a:p>
          <a:r>
            <a:rPr lang="en-GB"/>
            <a:t>Based on fuel/electricity saved (via reduced use and/or removed vehicles)</a:t>
          </a:r>
        </a:p>
        <a:p>
          <a:r>
            <a:rPr lang="en-GB"/>
            <a:t>Emission factors for diesel, petrol, and electricity</a:t>
          </a:r>
        </a:p>
        <a:p>
          <a:r>
            <a:rPr lang="en-GB" b="1"/>
            <a:t>4. ROI calculations</a:t>
          </a:r>
        </a:p>
        <a:p>
          <a:r>
            <a:rPr lang="en-GB"/>
            <a:t>Comparison of investment (upfront and recurring/project management) versus projected annual savings</a:t>
          </a:r>
        </a:p>
        <a:p>
          <a:r>
            <a:rPr lang="en-GB" b="1"/>
            <a:t>5. Social/HR impact</a:t>
          </a:r>
        </a:p>
        <a:p>
          <a:r>
            <a:rPr lang="en-GB"/>
            <a:t>Reduction in number of drivers (based on change in vehicles or transport demand)</a:t>
          </a:r>
        </a:p>
        <a:p>
          <a:r>
            <a:rPr lang="en-GB"/>
            <a:t>Management/HR/admin resource needs and associated costs</a:t>
          </a:r>
        </a:p>
        <a:p>
          <a:r>
            <a:rPr lang="en-GB" b="1"/>
            <a:t>6. scenarios</a:t>
          </a:r>
        </a:p>
        <a:p>
          <a:r>
            <a:rPr lang="en-GB"/>
            <a:t>Ability to model different % of transport demand shared (e.g., 10%, 20%)</a:t>
          </a:r>
        </a:p>
        <a:p>
          <a:r>
            <a:rPr lang="en-GB"/>
            <a:t>Ability to model different % of shared trips covered by own vehicles (affecting who gets the savings)</a:t>
          </a:r>
        </a:p>
        <a:p>
          <a:endParaRPr lang="en-GB" sz="1100"/>
        </a:p>
      </xdr:txBody>
    </xdr:sp>
    <xdr:clientData/>
  </xdr:twoCellAnchor>
  <xdr:twoCellAnchor editAs="absolute">
    <xdr:from>
      <xdr:col>1</xdr:col>
      <xdr:colOff>180079</xdr:colOff>
      <xdr:row>0</xdr:row>
      <xdr:rowOff>173355</xdr:rowOff>
    </xdr:from>
    <xdr:to>
      <xdr:col>3</xdr:col>
      <xdr:colOff>1073524</xdr:colOff>
      <xdr:row>0</xdr:row>
      <xdr:rowOff>550040</xdr:rowOff>
    </xdr:to>
    <xdr:sp macro="" textlink="">
      <xdr:nvSpPr>
        <xdr:cNvPr id="7" name="Title">
          <a:extLst>
            <a:ext uri="{FF2B5EF4-FFF2-40B4-BE49-F238E27FC236}">
              <a16:creationId xmlns:a16="http://schemas.microsoft.com/office/drawing/2014/main" id="{970494FB-6D05-4D61-ACAB-FC1A459A323D}"/>
            </a:ext>
          </a:extLst>
        </xdr:cNvPr>
        <xdr:cNvSpPr txBox="1"/>
      </xdr:nvSpPr>
      <xdr:spPr>
        <a:xfrm>
          <a:off x="3314700" y="177165"/>
          <a:ext cx="5067300" cy="369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solidFill>
                <a:schemeClr val="accent1"/>
              </a:solidFill>
            </a:rPr>
            <a:t>Ride sharing impact results (detailed)</a:t>
          </a:r>
        </a:p>
      </xdr:txBody>
    </xdr:sp>
    <xdr:clientData/>
  </xdr:twoCellAnchor>
  <xdr:twoCellAnchor editAs="absolute">
    <xdr:from>
      <xdr:col>0</xdr:col>
      <xdr:colOff>264795</xdr:colOff>
      <xdr:row>0</xdr:row>
      <xdr:rowOff>53340</xdr:rowOff>
    </xdr:from>
    <xdr:to>
      <xdr:col>0</xdr:col>
      <xdr:colOff>1850436</xdr:colOff>
      <xdr:row>1</xdr:row>
      <xdr:rowOff>93013</xdr:rowOff>
    </xdr:to>
    <xdr:pic>
      <xdr:nvPicPr>
        <xdr:cNvPr id="8" name="FF Logo">
          <a:extLst>
            <a:ext uri="{FF2B5EF4-FFF2-40B4-BE49-F238E27FC236}">
              <a16:creationId xmlns:a16="http://schemas.microsoft.com/office/drawing/2014/main" id="{9EFC3181-546E-4FA2-AA35-2D46AA847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795" y="49530"/>
          <a:ext cx="1589451" cy="609268"/>
        </a:xfrm>
        <a:prstGeom prst="rect">
          <a:avLst/>
        </a:prstGeom>
      </xdr:spPr>
    </xdr:pic>
    <xdr:clientData/>
  </xdr:twoCellAnchor>
  <xdr:twoCellAnchor editAs="absolute">
    <xdr:from>
      <xdr:col>6</xdr:col>
      <xdr:colOff>352201</xdr:colOff>
      <xdr:row>0</xdr:row>
      <xdr:rowOff>436245</xdr:rowOff>
    </xdr:from>
    <xdr:to>
      <xdr:col>7</xdr:col>
      <xdr:colOff>176941</xdr:colOff>
      <xdr:row>2</xdr:row>
      <xdr:rowOff>83763</xdr:rowOff>
    </xdr:to>
    <xdr:sp macro="" textlink="">
      <xdr:nvSpPr>
        <xdr:cNvPr id="10" name="Title">
          <a:extLst>
            <a:ext uri="{FF2B5EF4-FFF2-40B4-BE49-F238E27FC236}">
              <a16:creationId xmlns:a16="http://schemas.microsoft.com/office/drawing/2014/main" id="{06FCAD57-1DAC-4595-A225-AF38DFC54A12}"/>
            </a:ext>
          </a:extLst>
        </xdr:cNvPr>
        <xdr:cNvSpPr txBox="1"/>
      </xdr:nvSpPr>
      <xdr:spPr>
        <a:xfrm>
          <a:off x="10294620" y="436245"/>
          <a:ext cx="5074920" cy="39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solidFill>
                <a:schemeClr val="accent1"/>
              </a:solidFill>
            </a:rPr>
            <a:t>Business case summary for ride sharing</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AA6447-D46A-45C5-AC1E-5C7B764A7ECA}" name="Table1" displayName="Table1" ref="B29:BB37" totalsRowShown="0" dataDxfId="53">
  <autoFilter ref="B29:BB37" xr:uid="{1EAA6447-D46A-45C5-AC1E-5C7B764A7ECA}"/>
  <tableColumns count="53">
    <tableColumn id="1" xr3:uid="{0C034A56-BE34-44EC-BF68-0B2CE7A2BC40}" name="Vehicle Type" dataDxfId="52"/>
    <tableColumn id="2" xr3:uid="{AB03A0C8-3E95-4193-BB70-77C6E69A7743}" name="Fuel Type" dataDxfId="51"/>
    <tableColumn id="3" xr3:uid="{6DB5ED3C-3DD2-427A-8739-5B03F53D3BF9}" name="Ownership" dataDxfId="50"/>
    <tableColumn id="4" xr3:uid="{2F2908B3-E783-4FA5-93FF-EC218B78CFEE}" name="Number of vehicles" dataDxfId="49"/>
    <tableColumn id="5" xr3:uid="{B4ABA048-B9D0-4CC3-AC3E-3C71202ADD2C}" name="Avg monthly KM per vehicle" dataDxfId="48"/>
    <tableColumn id="6" xr3:uid="{32FBE292-8F88-428D-8994-FAA2FD90D02F}" name="Fuel cons. (l/100km)" dataDxfId="47"/>
    <tableColumn id="33" xr3:uid="{FE1C744F-D121-46C0-9340-168FA41E2D40}" name="Electric cons. (kWh/100km)" dataDxfId="46"/>
    <tableColumn id="7" xr3:uid="{33352C9B-DD35-4C16-93ED-BF6FD7441DD1}" name="Monthly Lease/Rent " dataDxfId="45"/>
    <tableColumn id="8" xr3:uid="{E1913EEF-8852-4A0B-A3BE-9A533F4939D8}" name="Monthly Insurance " dataDxfId="44"/>
    <tableColumn id="17" xr3:uid="{44E29DFC-3CD3-4F18-BC0E-9507ED8FB824}" name="Avg monthly maintenance" dataDxfId="43"/>
    <tableColumn id="10" xr3:uid="{76BC285E-6D75-4B1D-BE85-46FC4BA3D13C}" name="Purchase Price_x000a_" dataDxfId="42"/>
    <tableColumn id="11" xr3:uid="{1DB8FE1F-4777-48A4-97FE-919DE420B747}" name="Purchase Year" dataDxfId="41"/>
    <tableColumn id="12" xr3:uid="{8E879003-4B54-4704-B157-9C4FCE3BF66F}" name="Useful Life (years)" dataDxfId="40"/>
    <tableColumn id="13" xr3:uid="{6778323F-03CC-498E-A54B-43E5153C12CD}" name="Estimated Residual Value" dataDxfId="39"/>
    <tableColumn id="14" xr3:uid="{FF6E2CB1-DFCC-4636-B842-91C56F2BA02B}" name="Monthly depreciation" dataDxfId="38">
      <calculatedColumnFormula>IF(D30="Owned",(L30-O30)/N30/12,"")</calculatedColumnFormula>
    </tableColumn>
    <tableColumn id="15" xr3:uid="{A669F452-9E79-4F72-9C46-4939C8D7C63A}" name="Monthly fuel/energy cost per vehicle" dataDxfId="37">
      <calculatedColumnFormula>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calculatedColumnFormula>
    </tableColumn>
    <tableColumn id="16" xr3:uid="{75412066-10F8-435D-AE10-55FE023D5537}" name="Monthly total cost per vehicle" dataDxfId="36">
      <calculatedColumnFormula>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calculatedColumnFormula>
    </tableColumn>
    <tableColumn id="21" xr3:uid="{E211A2E5-BDEC-4C7C-B410-2AE0BDBC2E12}" name="Monthly KM reduced (10%)" dataDxfId="35">
      <calculatedColumnFormula>(Table1[[#This Row],[Number of vehicles]] * Table1[[#This Row],[Avg monthly KM per vehicle]] *0.1)*(1-'General Info'!$E$23)</calculatedColumnFormula>
    </tableColumn>
    <tableColumn id="22" xr3:uid="{6D50EE44-91E5-45C4-84D9-A44CE8110256}" name="Fuel/Energy costs saved (10%)" dataDxfId="34">
      <calculatedColumnFormula>IF(Table1[[#This Row],[Fuel Type]]="Electric",
    (Table1[[#This Row],[Monthly KM reduced (10%)]] * (Table1[[#This Row],[Electric cons. (kWh/100km)]] / 100)) * 'General Info'!$E$12,
    (Table1[[#This Row],[Monthly KM reduced (10%)]] * (Table1[[#This Row],[Fuel cons. (l/100km)]] / 100)) *
      IF(Table1[[#This Row],[Fuel Type]]="Petrol", 'General Info'!$E$10, 'General Info'!$E$11)
)</calculatedColumnFormula>
    </tableColumn>
    <tableColumn id="45" xr3:uid="{D5DE6776-579A-40EF-A52E-CAFD220C5AC4}" name="Maintenance cost saved (10%)" dataDxfId="33">
      <calculatedColumnFormula>Table1[[#This Row],[Avg monthly maintenance]]*0.1*(1-'General Info'!$E$23)</calculatedColumnFormula>
    </tableColumn>
    <tableColumn id="9" xr3:uid="{B4187083-510A-4E83-92A5-AB44B885C9C4}" name="Fuel saved (10%)" dataDxfId="32">
      <calculatedColumnFormula>IF(OR(Table1[[#This Row],[Fuel Type]]="Petrol", Table1[[#This Row],[Fuel Type]]="Diesel"),
   Table1[[#This Row],[Monthly KM reduced (10%)]] * (Table1[[#This Row],[Fuel cons. (l/100km)]] / 100),
   "")</calculatedColumnFormula>
    </tableColumn>
    <tableColumn id="18" xr3:uid="{CCAAC7B8-5161-4C67-9FFF-F07840846E4A}" name="Energy saved (10%)" dataDxfId="31">
      <calculatedColumnFormula>IF(Table1[[#This Row],[Fuel Type]]="Electric",
   Table1[[#This Row],[Monthly KM reduced (10%)]] * (Table1[[#This Row],[Electric cons. (kWh/100km)]] / 100),
   "")</calculatedColumnFormula>
    </tableColumn>
    <tableColumn id="23" xr3:uid="{38D9D2E6-3C26-44CD-B678-6CADA234B70C}" name="CO2 Saved (10%)" dataDxfId="30">
      <calculatedColumnFormula>IF(Table1[[#This Row],[Fuel Type]]="Petrol",
   Table1[[#This Row],[Fuel saved (10%)]] * 'General Info'!$E$14,
IF(Table1[[#This Row],[Fuel Type]]="Diesel",
   Table1[[#This Row],[Fuel saved (10%)]] * 'General Info'!$E$13,
IF(Table1[[#This Row],[Fuel Type]]="Electric",
   Table1[[#This Row],[Energy saved (10%)]] * 'General Info'!$E$15,
"")))</calculatedColumnFormula>
    </tableColumn>
    <tableColumn id="51" xr3:uid="{18906EB2-AC3A-4C64-9067-85CDF793629E}" name="Deprecation saved (10%)" dataDxfId="29">
      <calculatedColumnFormula>IF(D30="Owned",('ROI &amp; Scenario Analysis'!$C$4*Table1[[#This Row],[Number of vehicles]])*Table1[[#This Row],[Monthly depreciation]],"")</calculatedColumnFormula>
    </tableColumn>
    <tableColumn id="52" xr3:uid="{5292D6D1-500E-41B5-8F5E-0E1736702170}" name="Lease/rent saved (10%)" dataDxfId="28">
      <calculatedColumnFormula>IF(D30="Rented",('ROI &amp; Scenario Analysis'!$C$4*Table1[[#This Row],[Number of vehicles]])*Table1[[#This Row],[Monthly Lease/Rent ]],"")</calculatedColumnFormula>
    </tableColumn>
    <tableColumn id="53" xr3:uid="{2B6D8541-B54E-40E6-936D-9A2D674CCAA6}" name="Insurance saved (10%)" dataDxfId="27">
      <calculatedColumnFormula>'ROI &amp; Scenario Analysis'!$C$4*Table1[[#This Row],[Monthly Insurance ]]</calculatedColumnFormula>
    </tableColumn>
    <tableColumn id="24" xr3:uid="{EC5026F4-5429-40CF-955B-1B58BBEF7012}" name="Monthly KM reduced (25%)" dataDxfId="26">
      <calculatedColumnFormula>(Table1[[#This Row],[Number of vehicles]] * Table1[[#This Row],[Avg monthly KM per vehicle]] *0.25)*(1-'General Info'!$E$23)</calculatedColumnFormula>
    </tableColumn>
    <tableColumn id="25" xr3:uid="{75FB3EC1-EF97-459D-B0BA-73546C3A1B5F}" name="Fuel/Energy costs saved (25%)" dataDxfId="25">
      <calculatedColumnFormula>IF(Table1[[#This Row],[Fuel Type]]="Electric",
    (Table1[[#This Row],[Monthly KM reduced (25%)]] * (Table1[[#This Row],[Electric cons. (kWh/100km)]] / 100)) * 'General Info'!$E$12,
    (Table1[[#This Row],[Monthly KM reduced (25%)]] * (Table1[[#This Row],[Fuel cons. (l/100km)]] / 100)) *
      IF(Table1[[#This Row],[Fuel Type]]="Petrol", 'General Info'!$E$10, 'General Info'!$E$11)
)</calculatedColumnFormula>
    </tableColumn>
    <tableColumn id="44" xr3:uid="{261C5AA0-A0CD-4149-9CA9-310606CEA146}" name="Maintenance cost saved (25%)" dataDxfId="24">
      <calculatedColumnFormula>Table1[[#This Row],[Avg monthly maintenance]]*0.25*(1-'General Info'!$E$23)</calculatedColumnFormula>
    </tableColumn>
    <tableColumn id="19" xr3:uid="{62EC8010-0FFF-4AC2-A0C4-02BDE005C2E0}" name="Fuel Saved (25%)" dataDxfId="23">
      <calculatedColumnFormula>IF(OR(Table1[[#This Row],[Fuel Type]]="Petrol", Table1[[#This Row],[Fuel Type]]="Diesel"),
   Table1[[#This Row],[Monthly KM reduced (25%)]] * (Table1[[#This Row],[Fuel cons. (l/100km)]] / 100),
   "")</calculatedColumnFormula>
    </tableColumn>
    <tableColumn id="20" xr3:uid="{E4D51542-38A5-4C6E-BBFD-8F284FD1B516}" name="Energy Saved (25%)" dataDxfId="22">
      <calculatedColumnFormula>IF(Table1[[#This Row],[Fuel Type]]="Electric",
   Table1[[#This Row],[Monthly KM reduced (25%)]] * (Table1[[#This Row],[Electric cons. (kWh/100km)]] / 100),
   "")</calculatedColumnFormula>
    </tableColumn>
    <tableColumn id="26" xr3:uid="{6DC8826E-18C9-42A1-982D-3AAB5D16641B}" name="CO2 Saved (25%)" dataDxfId="21">
      <calculatedColumnFormula>IF(Table1[[#This Row],[Fuel Type]]="Petrol",
   Table1[[#This Row],[Fuel Saved (25%)]] * 'General Info'!$E$14,
IF(Table1[[#This Row],[Fuel Type]]="Diesel",
   Table1[[#This Row],[Fuel Saved (25%)]] * 'General Info'!$E$13,
IF(Table1[[#This Row],[Fuel Type]]="Electric",
   Table1[[#This Row],[Energy Saved (25%)]] * 'General Info'!$E$15,
"")))</calculatedColumnFormula>
    </tableColumn>
    <tableColumn id="54" xr3:uid="{8E4060AB-B02C-439C-8D50-2D9531936EFD}" name="Deprecation saved (25%)" dataDxfId="20">
      <calculatedColumnFormula>IF(D30="Owned",('ROI &amp; Scenario Analysis'!$D$4*Table1[[#This Row],[Number of vehicles]])*Table1[[#This Row],[Monthly depreciation]],"")</calculatedColumnFormula>
    </tableColumn>
    <tableColumn id="55" xr3:uid="{94B39703-6A2D-4F35-9622-89503826F3EB}" name="Lease/rent saved (25%)" dataDxfId="19">
      <calculatedColumnFormula>IF(D30="Rented",('ROI &amp; Scenario Analysis'!$D$4*Table1[[#This Row],[Number of vehicles]])*Table1[[#This Row],[Monthly Lease/Rent ]],"")</calculatedColumnFormula>
    </tableColumn>
    <tableColumn id="56" xr3:uid="{E0B5A3BE-B205-484D-A577-EFF354EE5924}" name="Insurance saved (25%)" dataDxfId="18">
      <calculatedColumnFormula>'ROI &amp; Scenario Analysis'!$D$4*Table1[[#This Row],[Monthly Insurance ]]</calculatedColumnFormula>
    </tableColumn>
    <tableColumn id="30" xr3:uid="{3F419915-1665-4CAD-BB50-DB6AD47C5496}" name="Monthly KM reduced (50%)" dataDxfId="17">
      <calculatedColumnFormula>(Table1[[#This Row],[Number of vehicles]] * Table1[[#This Row],[Avg monthly KM per vehicle]] *0.5)*(1-'General Info'!$E$23)</calculatedColumnFormula>
    </tableColumn>
    <tableColumn id="31" xr3:uid="{466338F2-1990-42A8-9E5E-CAA91040E56B}" name="Fuel/Energy costs saved (50%)" dataDxfId="16">
      <calculatedColumnFormula>IF(Table1[[#This Row],[Fuel Type]]="Electric",
    (Table1[[#This Row],[Monthly KM reduced (50%)]] * (Table1[[#This Row],[Electric cons. (kWh/100km)]] / 100)) * 'General Info'!$E$12,
    (Table1[[#This Row],[Monthly KM reduced (50%)]] * (Table1[[#This Row],[Fuel cons. (l/100km)]] / 100)) *
      IF(Table1[[#This Row],[Fuel Type]]="Petrol", 'General Info'!$E$10, 'General Info'!$E$11)
)</calculatedColumnFormula>
    </tableColumn>
    <tableColumn id="47" xr3:uid="{9DE9338D-C0C4-4717-851D-2D2B1F3136EE}" name="Maintenance cost saved (50%)" dataDxfId="15">
      <calculatedColumnFormula>Table1[[#This Row],[Avg monthly maintenance]]*0.5*(1-'General Info'!$E$23)</calculatedColumnFormula>
    </tableColumn>
    <tableColumn id="36" xr3:uid="{67B85C97-6988-482B-888C-2149620EB73B}" name="Fuel Saved (50%)" dataDxfId="14">
      <calculatedColumnFormula>IF(OR(Table1[[#This Row],[Fuel Type]]="Petrol", Table1[[#This Row],[Fuel Type]]="Diesel"),
   Table1[[#This Row],[Monthly KM reduced (50%)]] * (Table1[[#This Row],[Fuel cons. (l/100km)]] / 100),
   "")</calculatedColumnFormula>
    </tableColumn>
    <tableColumn id="37" xr3:uid="{3AF56AD5-787D-4B46-A09B-B21002DBDA60}" name="Energy Saved (50%)" dataDxfId="13">
      <calculatedColumnFormula>IF(Table1[[#This Row],[Fuel Type]]="Electric",
   Table1[[#This Row],[Monthly KM reduced (50%)]] * (Table1[[#This Row],[Electric cons. (kWh/100km)]] / 100),
   "")</calculatedColumnFormula>
    </tableColumn>
    <tableColumn id="32" xr3:uid="{CB58F77C-C76E-4048-92C4-7C3833DFEDCE}" name="CO2 Saved (50%)" dataDxfId="12">
      <calculatedColumnFormula>IF(Table1[[#This Row],[Fuel Type]]="Petrol",
   Table1[[#This Row],[Fuel Saved (50%)]] * 'General Info'!$E$14,
IF(Table1[[#This Row],[Fuel Type]]="Diesel",
   Table1[[#This Row],[Fuel Saved (50%)]] * 'General Info'!$E$13,
IF(Table1[[#This Row],[Fuel Type]]="Electric",
   Table1[[#This Row],[Energy Saved (50%)]] * 'General Info'!$E$15,
"")))</calculatedColumnFormula>
    </tableColumn>
    <tableColumn id="58" xr3:uid="{D14811C3-ECB7-4196-AD3B-64984E1940E8}" name="Deprecation saved (50%)" dataDxfId="11">
      <calculatedColumnFormula>IF(D30="Owned",('ROI &amp; Scenario Analysis'!$E$4*Table1[[#This Row],[Number of vehicles]])*Table1[[#This Row],[Monthly depreciation]],"")</calculatedColumnFormula>
    </tableColumn>
    <tableColumn id="59" xr3:uid="{9CDEFBCB-F52C-4722-89A6-D0C732A75BAE}" name="Lease/rent saved (50%)" dataDxfId="10">
      <calculatedColumnFormula>IF(D30="Rented",('ROI &amp; Scenario Analysis'!$E$4*Table1[[#This Row],[Number of vehicles]])*Table1[[#This Row],[Monthly Lease/Rent ]],"")</calculatedColumnFormula>
    </tableColumn>
    <tableColumn id="57" xr3:uid="{FE34B9E1-E132-4D6B-8564-32C05BEA8697}" name="Insurance saved (50%)" dataDxfId="9">
      <calculatedColumnFormula>'ROI &amp; Scenario Analysis'!$E$4*Table1[[#This Row],[Monthly Insurance ]]</calculatedColumnFormula>
    </tableColumn>
    <tableColumn id="38" xr3:uid="{922671EA-349D-4A43-BCA1-C13C0B81D873}" name="Monthly KM Reduced (User %)" dataDxfId="8">
      <calculatedColumnFormula>Table1[[#This Row],[Number of vehicles]] * Table1[[#This Row],[Avg monthly KM per vehicle]] * ('General Info'!$E$22) * (1 - 'General Info'!$E$23)</calculatedColumnFormula>
    </tableColumn>
    <tableColumn id="39" xr3:uid="{FA9D2CBB-EFA1-4502-B134-5EEC99419696}" name="Fuel Saved (User %)" dataDxfId="7">
      <calculatedColumnFormula>IF(OR(Table1[[#This Row],[Fuel Type]]="Petrol", Table1[[#This Row],[Fuel Type]]="Diesel"),
   Table1[ [#This Row],[Monthly KM Reduced (User %)] ] * (Table1[[#This Row],[Fuel cons. (l/100km)]] / 100),
   "")</calculatedColumnFormula>
    </tableColumn>
    <tableColumn id="40" xr3:uid="{FC8F5A1C-915F-4FD9-A940-433342B5F92D}" name="Energy Saved (User %)" dataDxfId="6">
      <calculatedColumnFormula>IF(Table1[[#This Row],[Fuel Type]]="Electric",
   Table1[ [#This Row],[Monthly KM Reduced (User %)] ] * (Table1[[#This Row],[Electric cons. (kWh/100km)]] / 100),
   "")</calculatedColumnFormula>
    </tableColumn>
    <tableColumn id="41" xr3:uid="{7BB109BE-F602-4409-ABDA-8BA940BA47B7}" name="Fuel/Energy Cost Saved (User %)" dataDxfId="5">
      <calculatedColumnFormula>IF(Table1[[#This Row],[Fuel Type]]="Petrol",
   Table1[[#This Row],[Fuel Saved (User %)]] * 'General Info'!$E$10,
IF(Table1[[#This Row],[Fuel Type]]="Diesel",
   Table1[[#This Row],[Fuel Saved (User %)]] * 'General Info'!$E$11,
IF(Table1[[#This Row],[Fuel Type]]="Electric",
   Table1[[#This Row],[Energy Saved (User %)]] * 'General Info'!$E$12,
"")))</calculatedColumnFormula>
    </tableColumn>
    <tableColumn id="42" xr3:uid="{BE97ABF1-8F79-4557-98D9-4F1090BE4BCF}" name="CO2 Saved (User %)" dataDxfId="4">
      <calculatedColumnFormula>IF(Table1[[#This Row],[Fuel Type]]="Petrol",
   Table1[[#This Row],[Fuel Saved (User %)]] * 'General Info'!$E$14,
IF(Table1[[#This Row],[Fuel Type]]="Diesel",
   Table1[[#This Row],[Fuel Saved (User %)]] * 'General Info'!$E$13,
IF(Table1[[#This Row],[Fuel Type]]="Electric",
   Table1[[#This Row],[Energy Saved (User %)]] * 'General Info'!$E$15,
"")))</calculatedColumnFormula>
    </tableColumn>
    <tableColumn id="43" xr3:uid="{661C01B6-E90B-4AAF-AE2B-68856890B539}" name="Maintenance costs saved (user %)" dataDxfId="3">
      <calculatedColumnFormula>Table1[[#This Row],[Avg monthly maintenance]]*'General Info'!$E$22*(1-'General Info'!$E$23)</calculatedColumnFormula>
    </tableColumn>
    <tableColumn id="48" xr3:uid="{C2355B18-BF4E-4EDE-9B8E-93BF48D91E99}" name="Deprecation saved (user %)" dataDxfId="2">
      <calculatedColumnFormula>IF(D30="Owned",('ROI &amp; Scenario Analysis'!$B$4*Table1[[#This Row],[Number of vehicles]])*Table1[[#This Row],[Monthly depreciation]],"")</calculatedColumnFormula>
    </tableColumn>
    <tableColumn id="49" xr3:uid="{C81C5272-8F66-4828-8E82-58B10DE209C8}" name="Lease/rent saved (user%)" dataDxfId="1">
      <calculatedColumnFormula>IF(D30="Rented",('ROI &amp; Scenario Analysis'!$B$4*Table1[[#This Row],[Number of vehicles]])*Table1[[#This Row],[Monthly Lease/Rent ]],"")</calculatedColumnFormula>
    </tableColumn>
    <tableColumn id="50" xr3:uid="{672BE984-458B-45F0-9A92-C5A9A88C577C}" name="Insurance saved (User%)" dataDxfId="0">
      <calculatedColumnFormula>'ROI &amp; Scenario Analysis'!$B$4*Table1[[#This Row],[Monthly Insurance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FF Theme">
  <a:themeElements>
    <a:clrScheme name="Aangepast 2">
      <a:dk1>
        <a:sysClr val="windowText" lastClr="000000"/>
      </a:dk1>
      <a:lt1>
        <a:sysClr val="window" lastClr="FFFFFF"/>
      </a:lt1>
      <a:dk2>
        <a:srgbClr val="44546A"/>
      </a:dk2>
      <a:lt2>
        <a:srgbClr val="E7E6E6"/>
      </a:lt2>
      <a:accent1>
        <a:srgbClr val="4E7BA2"/>
      </a:accent1>
      <a:accent2>
        <a:srgbClr val="B5BA8E"/>
      </a:accent2>
      <a:accent3>
        <a:srgbClr val="A5A5A5"/>
      </a:accent3>
      <a:accent4>
        <a:srgbClr val="B5BA8E"/>
      </a:accent4>
      <a:accent5>
        <a:srgbClr val="4E7BA2"/>
      </a:accent5>
      <a:accent6>
        <a:srgbClr val="70AD47"/>
      </a:accent6>
      <a:hlink>
        <a:srgbClr val="FFC00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fleetforu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0C3-1334-414B-8C27-61F573807401}">
  <sheetPr>
    <tabColor theme="6"/>
  </sheetPr>
  <dimension ref="C35"/>
  <sheetViews>
    <sheetView showGridLines="0" tabSelected="1" zoomScaleNormal="100" workbookViewId="0">
      <selection activeCell="Q19" sqref="Q19"/>
    </sheetView>
  </sheetViews>
  <sheetFormatPr defaultColWidth="9.109375" defaultRowHeight="14.4" x14ac:dyDescent="0.3"/>
  <cols>
    <col min="2" max="2" width="10.33203125" customWidth="1"/>
    <col min="8" max="8" width="10.33203125" customWidth="1"/>
  </cols>
  <sheetData>
    <row r="35" spans="3:3" x14ac:dyDescent="0.3">
      <c r="C35" s="57" t="s">
        <v>253</v>
      </c>
    </row>
  </sheetData>
  <sheetProtection algorithmName="SHA-512" hashValue="jsjyQo3MQsx2n30IJ8yat2NQojj41VfDisRqfIibEOP0KhQmts1zrfW2f3b5Qp+mZ0SuO1hOaj1XJ9xzlApVNQ==" saltValue="VbpC5iAPuKdGYvT/1aMy5A==" spinCount="100000" sheet="1" objects="1" scenarios="1" selectLockedCells="1" selectUnlockedCells="1"/>
  <hyperlinks>
    <hyperlink ref="C35" r:id="rId1" xr:uid="{27164D45-1EAC-48E0-B441-AD2BED56ECF0}"/>
  </hyperlinks>
  <pageMargins left="0.7" right="0.7" top="0.75" bottom="0.75" header="0.3" footer="0.3"/>
  <pageSetup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088C-1B9C-48DE-93F7-DED68624F1B6}">
  <sheetPr>
    <tabColor theme="5"/>
  </sheetPr>
  <dimension ref="B3:E23"/>
  <sheetViews>
    <sheetView showGridLines="0" topLeftCell="A10" zoomScale="93" zoomScaleNormal="93" workbookViewId="0">
      <selection activeCell="E15" sqref="E15"/>
    </sheetView>
  </sheetViews>
  <sheetFormatPr defaultColWidth="9.109375" defaultRowHeight="14.4" x14ac:dyDescent="0.3"/>
  <cols>
    <col min="1" max="1" width="4" customWidth="1"/>
    <col min="2" max="2" width="27.88671875" bestFit="1" customWidth="1"/>
    <col min="3" max="3" width="36.5546875" bestFit="1" customWidth="1"/>
    <col min="4" max="4" width="18.33203125" bestFit="1" customWidth="1"/>
    <col min="5" max="5" width="28.6640625" customWidth="1"/>
    <col min="11" max="11" width="34.33203125" customWidth="1"/>
    <col min="12" max="12" width="39.44140625" customWidth="1"/>
    <col min="13" max="13" width="21.6640625" customWidth="1"/>
    <col min="14" max="14" width="21.109375" customWidth="1"/>
    <col min="15" max="15" width="14.5546875" customWidth="1"/>
  </cols>
  <sheetData>
    <row r="3" spans="2:5" ht="15" thickBot="1" x14ac:dyDescent="0.35"/>
    <row r="4" spans="2:5" ht="16.2" thickBot="1" x14ac:dyDescent="0.35">
      <c r="B4" s="49" t="s">
        <v>0</v>
      </c>
      <c r="C4" s="49" t="s">
        <v>1</v>
      </c>
      <c r="D4" s="49" t="s">
        <v>2</v>
      </c>
      <c r="E4" s="49" t="s">
        <v>3</v>
      </c>
    </row>
    <row r="5" spans="2:5" ht="15" thickBot="1" x14ac:dyDescent="0.35">
      <c r="B5" s="46" t="s">
        <v>4</v>
      </c>
      <c r="C5" s="47" t="s">
        <v>5</v>
      </c>
      <c r="D5" s="47" t="s">
        <v>6</v>
      </c>
      <c r="E5" s="50" t="s">
        <v>254</v>
      </c>
    </row>
    <row r="6" spans="2:5" ht="15" thickBot="1" x14ac:dyDescent="0.35">
      <c r="B6" s="46" t="s">
        <v>7</v>
      </c>
      <c r="C6" s="47" t="s">
        <v>159</v>
      </c>
      <c r="D6" s="47" t="s">
        <v>8</v>
      </c>
      <c r="E6" s="50" t="s">
        <v>8</v>
      </c>
    </row>
    <row r="7" spans="2:5" ht="15" thickBot="1" x14ac:dyDescent="0.35">
      <c r="B7" s="46" t="s">
        <v>9</v>
      </c>
      <c r="C7" s="47" t="s">
        <v>10</v>
      </c>
      <c r="D7" s="47" t="s">
        <v>11</v>
      </c>
      <c r="E7" s="50" t="s">
        <v>11</v>
      </c>
    </row>
    <row r="8" spans="2:5" ht="29.4" thickBot="1" x14ac:dyDescent="0.35">
      <c r="B8" s="46" t="s">
        <v>12</v>
      </c>
      <c r="C8" s="47" t="s">
        <v>160</v>
      </c>
      <c r="D8" s="47" t="s">
        <v>13</v>
      </c>
      <c r="E8" s="50" t="s">
        <v>13</v>
      </c>
    </row>
    <row r="9" spans="2:5" ht="15" thickBot="1" x14ac:dyDescent="0.35">
      <c r="B9" s="46" t="s">
        <v>14</v>
      </c>
      <c r="C9" s="47" t="s">
        <v>15</v>
      </c>
      <c r="D9" s="47" t="s">
        <v>16</v>
      </c>
      <c r="E9" s="50" t="s">
        <v>17</v>
      </c>
    </row>
    <row r="10" spans="2:5" ht="29.4" thickBot="1" x14ac:dyDescent="0.35">
      <c r="B10" s="46" t="s">
        <v>18</v>
      </c>
      <c r="C10" s="47" t="s">
        <v>161</v>
      </c>
      <c r="D10" s="47">
        <v>1.85</v>
      </c>
      <c r="E10" s="50">
        <v>1.85</v>
      </c>
    </row>
    <row r="11" spans="2:5" ht="29.4" thickBot="1" x14ac:dyDescent="0.35">
      <c r="B11" s="46" t="s">
        <v>19</v>
      </c>
      <c r="C11" s="47" t="s">
        <v>162</v>
      </c>
      <c r="D11" s="47">
        <v>1.5</v>
      </c>
      <c r="E11" s="50">
        <v>1.5</v>
      </c>
    </row>
    <row r="12" spans="2:5" ht="29.4" thickBot="1" x14ac:dyDescent="0.35">
      <c r="B12" s="46" t="s">
        <v>20</v>
      </c>
      <c r="C12" s="47" t="s">
        <v>21</v>
      </c>
      <c r="D12" s="47">
        <v>0.25</v>
      </c>
      <c r="E12" s="50">
        <v>0.25</v>
      </c>
    </row>
    <row r="13" spans="2:5" ht="43.8" thickBot="1" x14ac:dyDescent="0.35">
      <c r="B13" s="46" t="s">
        <v>22</v>
      </c>
      <c r="C13" s="47" t="s">
        <v>163</v>
      </c>
      <c r="D13" s="47">
        <v>2.68</v>
      </c>
      <c r="E13" s="50">
        <v>2.68</v>
      </c>
    </row>
    <row r="14" spans="2:5" ht="43.8" thickBot="1" x14ac:dyDescent="0.35">
      <c r="B14" s="46" t="s">
        <v>23</v>
      </c>
      <c r="C14" s="47" t="s">
        <v>164</v>
      </c>
      <c r="D14" s="47">
        <v>2.31</v>
      </c>
      <c r="E14" s="50">
        <v>2.31</v>
      </c>
    </row>
    <row r="15" spans="2:5" ht="15" thickBot="1" x14ac:dyDescent="0.35">
      <c r="B15" s="46" t="s">
        <v>24</v>
      </c>
      <c r="C15" s="47" t="s">
        <v>25</v>
      </c>
      <c r="D15" s="47">
        <v>0.47499999999999998</v>
      </c>
      <c r="E15" s="50">
        <v>0.47499999999999998</v>
      </c>
    </row>
    <row r="16" spans="2:5" ht="43.8" thickBot="1" x14ac:dyDescent="0.35">
      <c r="B16" s="46" t="str">
        <f>"One-time project cost (" &amp; $E$9 &amp; ")"</f>
        <v>One-time project cost ($)</v>
      </c>
      <c r="C16" s="47" t="s">
        <v>165</v>
      </c>
      <c r="D16" s="48">
        <v>5000</v>
      </c>
      <c r="E16" s="50">
        <v>500</v>
      </c>
    </row>
    <row r="17" spans="2:5" ht="15" thickBot="1" x14ac:dyDescent="0.35">
      <c r="B17" s="46" t="str">
        <f>"Monthly cost of a driver (" &amp; $E$9&amp; ")"</f>
        <v>Monthly cost of a driver ($)</v>
      </c>
      <c r="C17" s="47" t="s">
        <v>166</v>
      </c>
      <c r="D17" s="48">
        <v>1000</v>
      </c>
      <c r="E17" s="50">
        <v>1000</v>
      </c>
    </row>
    <row r="18" spans="2:5" ht="43.8" thickBot="1" x14ac:dyDescent="0.35">
      <c r="B18" s="46" t="str">
        <f>"Monthly cost of a manager (" &amp; $E$9 &amp; ")"</f>
        <v>Monthly cost of a manager ($)</v>
      </c>
      <c r="C18" s="47" t="s">
        <v>167</v>
      </c>
      <c r="D18" s="48">
        <v>2500</v>
      </c>
      <c r="E18" s="50">
        <v>1500</v>
      </c>
    </row>
    <row r="19" spans="2:5" ht="43.8" thickBot="1" x14ac:dyDescent="0.35">
      <c r="B19" s="46" t="s">
        <v>26</v>
      </c>
      <c r="C19" s="47" t="s">
        <v>168</v>
      </c>
      <c r="D19" s="48">
        <v>15</v>
      </c>
      <c r="E19" s="50">
        <v>15</v>
      </c>
    </row>
    <row r="20" spans="2:5" ht="58.2" thickBot="1" x14ac:dyDescent="0.35">
      <c r="B20" s="46" t="s">
        <v>27</v>
      </c>
      <c r="C20" s="47" t="s">
        <v>169</v>
      </c>
      <c r="D20" s="48">
        <v>15</v>
      </c>
      <c r="E20" s="51">
        <v>0.05</v>
      </c>
    </row>
    <row r="21" spans="2:5" ht="29.4" thickBot="1" x14ac:dyDescent="0.35">
      <c r="B21" s="46" t="str">
        <f>"Monthly HR/support costs (" &amp; $E$9 &amp; ")"</f>
        <v>Monthly HR/support costs ($)</v>
      </c>
      <c r="C21" s="47" t="s">
        <v>170</v>
      </c>
      <c r="D21" s="48">
        <v>800</v>
      </c>
      <c r="E21" s="50">
        <v>800</v>
      </c>
    </row>
    <row r="22" spans="2:5" ht="43.8" thickBot="1" x14ac:dyDescent="0.35">
      <c r="B22" s="46" t="s">
        <v>28</v>
      </c>
      <c r="C22" s="47" t="s">
        <v>171</v>
      </c>
      <c r="D22" s="48">
        <v>10</v>
      </c>
      <c r="E22" s="51">
        <v>0.2</v>
      </c>
    </row>
    <row r="23" spans="2:5" ht="43.8" thickBot="1" x14ac:dyDescent="0.35">
      <c r="B23" s="46" t="s">
        <v>29</v>
      </c>
      <c r="C23" s="47" t="s">
        <v>172</v>
      </c>
      <c r="D23" s="48">
        <v>40</v>
      </c>
      <c r="E23" s="51">
        <v>0.5</v>
      </c>
    </row>
  </sheetData>
  <sheetProtection algorithmName="SHA-512" hashValue="XbRB4pUbFg2JSw9b84T/UVy0VxndzUy+bPD11FnLfwpOPqzE9duvjP7RQGveTR8mdI+b9kOE/wsP9nlSsQJ7Cw==" saltValue="0Adz1zys/nbUnpI7JCZAAQ==" spinCount="100000" sheet="1" objects="1" scenarios="1" selectLockedCells="1"/>
  <dataValidations count="4">
    <dataValidation type="list" allowBlank="1" showInputMessage="1" showErrorMessage="1" sqref="E9" xr:uid="{75E1A349-D5E6-4CBE-8F0B-F7900A06BA32}">
      <formula1>"€, $, £"</formula1>
    </dataValidation>
    <dataValidation type="list" allowBlank="1" showInputMessage="1" showErrorMessage="1" sqref="E20" xr:uid="{2C4246E0-7731-47A8-8DFB-DB07C4B5B871}">
      <formula1>"5%, 10%, 15%, 20%, 25%, 30%, 40%, 50%, 75%, 100% "</formula1>
    </dataValidation>
    <dataValidation type="list" allowBlank="1" showInputMessage="1" showErrorMessage="1" sqref="E23" xr:uid="{16FE76CC-C190-477C-B47C-F00EBDB89EB6}">
      <formula1>"10%, 20%, 30%, 40%, 50%, 60%, 70%, 80%, 90%, 100% "</formula1>
    </dataValidation>
    <dataValidation type="list" allowBlank="1" sqref="E22" xr:uid="{A9910B55-D0E3-40A0-B3A0-7BA48A68CE78}">
      <formula1>"10%, 20%, 30%, 40%, 50%, 60%, 70%, 80%, 90%, 100% "</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A401-8290-4E47-AB93-8B50E64DCCFA}">
  <sheetPr>
    <tabColor theme="5"/>
  </sheetPr>
  <dimension ref="B1:BB127"/>
  <sheetViews>
    <sheetView showGridLines="0" topLeftCell="A2" zoomScale="70" zoomScaleNormal="70" workbookViewId="0"/>
  </sheetViews>
  <sheetFormatPr defaultColWidth="9.109375" defaultRowHeight="14.4" x14ac:dyDescent="0.3"/>
  <cols>
    <col min="1" max="1" width="4.33203125" customWidth="1"/>
    <col min="2" max="2" width="52.33203125" bestFit="1" customWidth="1"/>
    <col min="3" max="3" width="11.5546875" bestFit="1" customWidth="1"/>
    <col min="4" max="4" width="12.6640625" bestFit="1" customWidth="1"/>
    <col min="5" max="5" width="20.5546875" bestFit="1" customWidth="1"/>
    <col min="6" max="6" width="29" bestFit="1" customWidth="1"/>
    <col min="7" max="7" width="27.109375" bestFit="1" customWidth="1"/>
    <col min="8" max="8" width="35" bestFit="1" customWidth="1"/>
    <col min="9" max="9" width="27.77734375" bestFit="1" customWidth="1"/>
    <col min="10" max="10" width="26" bestFit="1" customWidth="1"/>
    <col min="11" max="11" width="27.109375" bestFit="1" customWidth="1"/>
    <col min="12" max="12" width="22.33203125" bestFit="1" customWidth="1"/>
    <col min="13" max="13" width="21.33203125" bestFit="1" customWidth="1"/>
    <col min="14" max="14" width="18.88671875" bestFit="1" customWidth="1"/>
    <col min="15" max="15" width="33.33203125" bestFit="1" customWidth="1"/>
    <col min="16" max="16" width="28.33203125" hidden="1" customWidth="1"/>
    <col min="17" max="17" width="45.6640625" hidden="1" customWidth="1"/>
    <col min="18" max="18" width="29.109375" hidden="1" customWidth="1"/>
    <col min="19" max="19" width="32.6640625" hidden="1" customWidth="1"/>
    <col min="20" max="20" width="39.109375" hidden="1" customWidth="1"/>
    <col min="21" max="21" width="29.33203125" hidden="1" customWidth="1"/>
    <col min="22" max="22" width="42.33203125" hidden="1" customWidth="1"/>
    <col min="23" max="23" width="39.5546875" hidden="1" customWidth="1"/>
    <col min="24" max="24" width="24.5546875" hidden="1" customWidth="1"/>
    <col min="25" max="25" width="32.44140625" hidden="1" customWidth="1"/>
    <col min="26" max="26" width="29.33203125" hidden="1" customWidth="1"/>
    <col min="27" max="27" width="24.5546875" hidden="1" customWidth="1"/>
    <col min="28" max="28" width="32.44140625" hidden="1" customWidth="1"/>
    <col min="29" max="29" width="39.5546875" hidden="1" customWidth="1"/>
    <col min="30" max="30" width="24.5546875" hidden="1" customWidth="1"/>
    <col min="31" max="31" width="29.109375" hidden="1" customWidth="1"/>
    <col min="32" max="32" width="21.33203125" hidden="1" customWidth="1"/>
    <col min="33" max="33" width="29.33203125" hidden="1" customWidth="1"/>
    <col min="34" max="34" width="26.6640625" hidden="1" customWidth="1"/>
    <col min="35" max="35" width="29.109375" hidden="1" customWidth="1"/>
    <col min="36" max="36" width="23.5546875" hidden="1" customWidth="1"/>
    <col min="37" max="37" width="29.44140625" hidden="1" customWidth="1"/>
    <col min="38" max="38" width="20.44140625" hidden="1" customWidth="1"/>
    <col min="39" max="39" width="22.44140625" hidden="1" customWidth="1"/>
    <col min="40" max="40" width="31" hidden="1" customWidth="1"/>
    <col min="41" max="41" width="20.33203125" hidden="1" customWidth="1"/>
    <col min="42" max="42" width="32.109375" hidden="1" customWidth="1"/>
    <col min="43" max="43" width="35.6640625" hidden="1" customWidth="1"/>
    <col min="44" max="44" width="33.44140625" hidden="1" customWidth="1"/>
    <col min="45" max="45" width="32.6640625" hidden="1" customWidth="1"/>
    <col min="46" max="46" width="30.88671875" hidden="1" customWidth="1"/>
    <col min="47" max="47" width="21.33203125" hidden="1" customWidth="1"/>
    <col min="48" max="48" width="23.5546875" hidden="1" customWidth="1"/>
    <col min="49" max="49" width="32.6640625" hidden="1" customWidth="1"/>
    <col min="50" max="50" width="21.33203125" hidden="1" customWidth="1"/>
    <col min="51" max="51" width="33.6640625" hidden="1" customWidth="1"/>
    <col min="52" max="52" width="29.33203125" hidden="1" customWidth="1"/>
    <col min="53" max="53" width="27.88671875" hidden="1" customWidth="1"/>
    <col min="54" max="54" width="26.44140625" hidden="1" customWidth="1"/>
    <col min="55" max="55" width="8.88671875" customWidth="1"/>
  </cols>
  <sheetData>
    <row r="1" spans="10:11" ht="28.95" customHeight="1" x14ac:dyDescent="0.3">
      <c r="J1" s="2"/>
      <c r="K1" s="2"/>
    </row>
    <row r="2" spans="10:11" x14ac:dyDescent="0.3">
      <c r="K2" s="3"/>
    </row>
    <row r="3" spans="10:11" x14ac:dyDescent="0.3">
      <c r="K3" s="3"/>
    </row>
    <row r="4" spans="10:11" x14ac:dyDescent="0.3">
      <c r="K4" s="3"/>
    </row>
    <row r="5" spans="10:11" x14ac:dyDescent="0.3">
      <c r="K5" s="3"/>
    </row>
    <row r="6" spans="10:11" x14ac:dyDescent="0.3">
      <c r="J6" s="3"/>
      <c r="K6" s="3"/>
    </row>
    <row r="7" spans="10:11" x14ac:dyDescent="0.3">
      <c r="J7" s="3"/>
      <c r="K7" s="3"/>
    </row>
    <row r="8" spans="10:11" x14ac:dyDescent="0.3">
      <c r="J8" s="3"/>
      <c r="K8" s="3"/>
    </row>
    <row r="9" spans="10:11" x14ac:dyDescent="0.3">
      <c r="J9" s="3"/>
      <c r="K9" s="3"/>
    </row>
    <row r="10" spans="10:11" x14ac:dyDescent="0.3">
      <c r="J10" s="3"/>
      <c r="K10" s="3"/>
    </row>
    <row r="11" spans="10:11" x14ac:dyDescent="0.3">
      <c r="J11" s="3"/>
    </row>
    <row r="12" spans="10:11" ht="43.2" customHeight="1" x14ac:dyDescent="0.3">
      <c r="J12" s="3"/>
    </row>
    <row r="13" spans="10:11" ht="43.2" customHeight="1" x14ac:dyDescent="0.3">
      <c r="J13" s="3"/>
    </row>
    <row r="14" spans="10:11" ht="43.2" customHeight="1" x14ac:dyDescent="0.3">
      <c r="J14" s="3"/>
    </row>
    <row r="15" spans="10:11" ht="43.2" customHeight="1" x14ac:dyDescent="0.3">
      <c r="J15" s="3"/>
    </row>
    <row r="16" spans="10:11" ht="28.95" customHeight="1" x14ac:dyDescent="0.3"/>
    <row r="17" spans="2:54" ht="28.95" customHeight="1" x14ac:dyDescent="0.3"/>
    <row r="18" spans="2:54" ht="28.95" customHeight="1" x14ac:dyDescent="0.3"/>
    <row r="19" spans="2:54" x14ac:dyDescent="0.3">
      <c r="H19" s="3"/>
      <c r="I19" s="3"/>
    </row>
    <row r="24" spans="2:54" x14ac:dyDescent="0.3">
      <c r="B24" s="12"/>
      <c r="C24" s="5"/>
      <c r="D24" s="5"/>
      <c r="E24" s="5"/>
    </row>
    <row r="25" spans="2:54" x14ac:dyDescent="0.3">
      <c r="B25" s="13"/>
      <c r="C25" s="5"/>
      <c r="D25" s="5"/>
      <c r="E25" s="5"/>
    </row>
    <row r="26" spans="2:54" x14ac:dyDescent="0.3">
      <c r="C26" s="5"/>
      <c r="D26" s="5"/>
      <c r="E26" s="5"/>
    </row>
    <row r="27" spans="2:54" x14ac:dyDescent="0.3">
      <c r="C27" s="5"/>
      <c r="D27" s="5"/>
      <c r="E27" s="5"/>
      <c r="P27" s="27" t="s">
        <v>30</v>
      </c>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row>
    <row r="28" spans="2:54" x14ac:dyDescent="0.3">
      <c r="F28" s="73" t="s">
        <v>31</v>
      </c>
      <c r="G28" s="73"/>
      <c r="H28" s="73"/>
      <c r="I28" s="73"/>
      <c r="J28" s="73"/>
      <c r="K28" s="73"/>
      <c r="L28" s="72" t="s">
        <v>32</v>
      </c>
      <c r="M28" s="72"/>
      <c r="N28" s="72"/>
      <c r="O28" s="72"/>
      <c r="S28" s="71" t="s">
        <v>33</v>
      </c>
      <c r="T28" s="71"/>
      <c r="U28" s="71"/>
      <c r="V28" s="71"/>
      <c r="W28" s="71"/>
      <c r="X28" s="71"/>
      <c r="Y28" s="71"/>
      <c r="Z28" s="71"/>
      <c r="AA28" s="71"/>
      <c r="AB28" s="74" t="s">
        <v>34</v>
      </c>
      <c r="AC28" s="74"/>
      <c r="AD28" s="74"/>
      <c r="AE28" s="74"/>
      <c r="AF28" s="74"/>
      <c r="AG28" s="74"/>
      <c r="AH28" s="74"/>
      <c r="AI28" s="74"/>
      <c r="AJ28" s="74"/>
      <c r="AK28" s="75" t="s">
        <v>213</v>
      </c>
      <c r="AL28" s="75"/>
      <c r="AM28" s="75"/>
      <c r="AN28" s="75"/>
      <c r="AO28" s="75"/>
      <c r="AP28" s="75"/>
      <c r="AQ28" s="75"/>
      <c r="AR28" s="75"/>
      <c r="AS28" s="75"/>
      <c r="AT28" s="70" t="s">
        <v>35</v>
      </c>
      <c r="AU28" s="70"/>
      <c r="AV28" s="70"/>
      <c r="AW28" s="70"/>
      <c r="AX28" s="70"/>
      <c r="AY28" s="70"/>
      <c r="AZ28" s="70"/>
      <c r="BA28" s="70"/>
      <c r="BB28" s="70"/>
    </row>
    <row r="29" spans="2:54" x14ac:dyDescent="0.3">
      <c r="B29" t="s">
        <v>36</v>
      </c>
      <c r="C29" t="s">
        <v>37</v>
      </c>
      <c r="D29" t="s">
        <v>38</v>
      </c>
      <c r="E29" t="s">
        <v>39</v>
      </c>
      <c r="F29" t="s">
        <v>40</v>
      </c>
      <c r="G29" t="s">
        <v>41</v>
      </c>
      <c r="H29" t="s">
        <v>42</v>
      </c>
      <c r="I29" t="s">
        <v>43</v>
      </c>
      <c r="J29" t="s">
        <v>44</v>
      </c>
      <c r="K29" t="s">
        <v>45</v>
      </c>
      <c r="L29" t="s">
        <v>46</v>
      </c>
      <c r="M29" t="s">
        <v>47</v>
      </c>
      <c r="N29" t="s">
        <v>48</v>
      </c>
      <c r="O29" t="s">
        <v>255</v>
      </c>
      <c r="P29" s="14" t="s">
        <v>49</v>
      </c>
      <c r="Q29" s="14" t="s">
        <v>50</v>
      </c>
      <c r="R29" s="14" t="s">
        <v>51</v>
      </c>
      <c r="S29" s="14" t="s">
        <v>52</v>
      </c>
      <c r="T29" s="14" t="s">
        <v>53</v>
      </c>
      <c r="U29" s="14" t="s">
        <v>54</v>
      </c>
      <c r="V29" s="14" t="s">
        <v>55</v>
      </c>
      <c r="W29" s="14" t="s">
        <v>56</v>
      </c>
      <c r="X29" s="14" t="s">
        <v>57</v>
      </c>
      <c r="Y29" s="14" t="s">
        <v>58</v>
      </c>
      <c r="Z29" s="14" t="s">
        <v>59</v>
      </c>
      <c r="AA29" s="14" t="s">
        <v>60</v>
      </c>
      <c r="AB29" s="14" t="s">
        <v>61</v>
      </c>
      <c r="AC29" s="14" t="s">
        <v>62</v>
      </c>
      <c r="AD29" s="14" t="s">
        <v>63</v>
      </c>
      <c r="AE29" s="14" t="s">
        <v>64</v>
      </c>
      <c r="AF29" s="14" t="s">
        <v>65</v>
      </c>
      <c r="AG29" s="14" t="s">
        <v>66</v>
      </c>
      <c r="AH29" s="14" t="s">
        <v>67</v>
      </c>
      <c r="AI29" s="14" t="s">
        <v>68</v>
      </c>
      <c r="AJ29" s="14" t="s">
        <v>69</v>
      </c>
      <c r="AK29" s="14" t="s">
        <v>70</v>
      </c>
      <c r="AL29" s="14" t="s">
        <v>71</v>
      </c>
      <c r="AM29" s="14" t="s">
        <v>72</v>
      </c>
      <c r="AN29" s="14" t="s">
        <v>73</v>
      </c>
      <c r="AO29" s="14" t="s">
        <v>74</v>
      </c>
      <c r="AP29" s="14" t="s">
        <v>75</v>
      </c>
      <c r="AQ29" s="14" t="s">
        <v>76</v>
      </c>
      <c r="AR29" s="14" t="s">
        <v>77</v>
      </c>
      <c r="AS29" s="14" t="s">
        <v>78</v>
      </c>
      <c r="AT29" t="s">
        <v>79</v>
      </c>
      <c r="AU29" t="s">
        <v>80</v>
      </c>
      <c r="AV29" t="s">
        <v>81</v>
      </c>
      <c r="AW29" t="s">
        <v>82</v>
      </c>
      <c r="AX29" t="s">
        <v>83</v>
      </c>
      <c r="AY29" t="s">
        <v>84</v>
      </c>
      <c r="AZ29" t="s">
        <v>85</v>
      </c>
      <c r="BA29" t="s">
        <v>86</v>
      </c>
      <c r="BB29" t="s">
        <v>87</v>
      </c>
    </row>
    <row r="30" spans="2:54" x14ac:dyDescent="0.3">
      <c r="B30" s="55" t="s">
        <v>88</v>
      </c>
      <c r="C30" s="55" t="s">
        <v>89</v>
      </c>
      <c r="D30" s="55" t="s">
        <v>90</v>
      </c>
      <c r="E30" s="55">
        <v>5</v>
      </c>
      <c r="F30" s="55">
        <v>2000</v>
      </c>
      <c r="G30" s="55">
        <v>9</v>
      </c>
      <c r="H30" s="55"/>
      <c r="I30" s="55">
        <v>250</v>
      </c>
      <c r="J30" s="55">
        <v>75</v>
      </c>
      <c r="K30" s="55">
        <v>120</v>
      </c>
      <c r="L30" s="55"/>
      <c r="M30" s="55"/>
      <c r="N30" s="55"/>
      <c r="O30" s="55"/>
      <c r="P30" s="44" t="str">
        <f t="shared" ref="P30:P36" si="0">IF(D30="Owned",(L30-O30)/N30/12,"")</f>
        <v/>
      </c>
      <c r="Q30"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333</v>
      </c>
      <c r="R30"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778</v>
      </c>
      <c r="S30" s="45">
        <f>(Table1[[#This Row],[Number of vehicles]] * Table1[[#This Row],[Avg monthly KM per vehicle]] *0.1)*(1-'General Info'!$E$23)</f>
        <v>500</v>
      </c>
      <c r="T30" s="44">
        <f>IF(Table1[[#This Row],[Fuel Type]]="Electric",
    (Table1[[#This Row],[Monthly KM reduced (10%)]] * (Table1[[#This Row],[Electric cons. (kWh/100km)]] / 100)) * 'General Info'!$E$12,
    (Table1[[#This Row],[Monthly KM reduced (10%)]] * (Table1[[#This Row],[Fuel cons. (l/100km)]] / 100)) *
      IF(Table1[[#This Row],[Fuel Type]]="Petrol", 'General Info'!$E$10, 'General Info'!$E$11)
)</f>
        <v>83.25</v>
      </c>
      <c r="U30" s="44">
        <f>Table1[[#This Row],[Avg monthly maintenance]]*0.1*(1-'General Info'!$E$23)</f>
        <v>6</v>
      </c>
      <c r="V30" s="44">
        <f>IF(OR(Table1[[#This Row],[Fuel Type]]="Petrol", Table1[[#This Row],[Fuel Type]]="Diesel"),
   Table1[[#This Row],[Monthly KM reduced (10%)]] * (Table1[[#This Row],[Fuel cons. (l/100km)]] / 100),
   "")</f>
        <v>45</v>
      </c>
      <c r="W30" s="44" t="str">
        <f>IF(Table1[[#This Row],[Fuel Type]]="Electric",
   Table1[[#This Row],[Monthly KM reduced (10%)]] * (Table1[[#This Row],[Electric cons. (kWh/100km)]] / 100),
   "")</f>
        <v/>
      </c>
      <c r="X30" s="44">
        <f>IF(Table1[[#This Row],[Fuel Type]]="Petrol",
   Table1[[#This Row],[Fuel saved (10%)]] * 'General Info'!$E$14,
IF(Table1[[#This Row],[Fuel Type]]="Diesel",
   Table1[[#This Row],[Fuel saved (10%)]] * 'General Info'!$E$13,
IF(Table1[[#This Row],[Fuel Type]]="Electric",
   Table1[[#This Row],[Energy saved (10%)]] * 'General Info'!$E$15,
"")))</f>
        <v>103.95</v>
      </c>
      <c r="Y30" s="44" t="str">
        <f>IF(D30="Owned",('ROI &amp; Scenario Analysis'!$C$4*Table1[[#This Row],[Number of vehicles]])*Table1[[#This Row],[Monthly depreciation]],"")</f>
        <v/>
      </c>
      <c r="Z30" s="44">
        <f>IF(D30="Rented",('ROI &amp; Scenario Analysis'!$C$4*Table1[[#This Row],[Number of vehicles]])*Table1[[#This Row],[Monthly Lease/Rent ]],"")</f>
        <v>75</v>
      </c>
      <c r="AA30" s="44">
        <f>'ROI &amp; Scenario Analysis'!$C$4*Table1[[#This Row],[Monthly Insurance ]]</f>
        <v>4.5</v>
      </c>
      <c r="AB30" s="45">
        <f>(Table1[[#This Row],[Number of vehicles]] * Table1[[#This Row],[Avg monthly KM per vehicle]] *0.25)*(1-'General Info'!$E$23)</f>
        <v>1250</v>
      </c>
      <c r="AC30" s="44">
        <f>IF(Table1[[#This Row],[Fuel Type]]="Electric",
    (Table1[[#This Row],[Monthly KM reduced (25%)]] * (Table1[[#This Row],[Electric cons. (kWh/100km)]] / 100)) * 'General Info'!$E$12,
    (Table1[[#This Row],[Monthly KM reduced (25%)]] * (Table1[[#This Row],[Fuel cons. (l/100km)]] / 100)) *
      IF(Table1[[#This Row],[Fuel Type]]="Petrol", 'General Info'!$E$10, 'General Info'!$E$11)
)</f>
        <v>208.125</v>
      </c>
      <c r="AD30" s="44">
        <f>Table1[[#This Row],[Avg monthly maintenance]]*0.25*(1-'General Info'!$E$23)</f>
        <v>15</v>
      </c>
      <c r="AE30" s="44">
        <f>IF(OR(Table1[[#This Row],[Fuel Type]]="Petrol", Table1[[#This Row],[Fuel Type]]="Diesel"),
   Table1[[#This Row],[Monthly KM reduced (25%)]] * (Table1[[#This Row],[Fuel cons. (l/100km)]] / 100),
   "")</f>
        <v>112.5</v>
      </c>
      <c r="AF30" s="44" t="str">
        <f>IF(Table1[[#This Row],[Fuel Type]]="Electric",
   Table1[[#This Row],[Monthly KM reduced (25%)]] * (Table1[[#This Row],[Electric cons. (kWh/100km)]] / 100),
   "")</f>
        <v/>
      </c>
      <c r="AG30" s="44">
        <f>IF(Table1[[#This Row],[Fuel Type]]="Petrol",
   Table1[[#This Row],[Fuel Saved (25%)]] * 'General Info'!$E$14,
IF(Table1[[#This Row],[Fuel Type]]="Diesel",
   Table1[[#This Row],[Fuel Saved (25%)]] * 'General Info'!$E$13,
IF(Table1[[#This Row],[Fuel Type]]="Electric",
   Table1[[#This Row],[Energy Saved (25%)]] * 'General Info'!$E$15,
"")))</f>
        <v>259.875</v>
      </c>
      <c r="AH30" s="44" t="str">
        <f>IF(D30="Owned",('ROI &amp; Scenario Analysis'!$D$4*Table1[[#This Row],[Number of vehicles]])*Table1[[#This Row],[Monthly depreciation]],"")</f>
        <v/>
      </c>
      <c r="AI30" s="44">
        <f>IF(D30="Rented",('ROI &amp; Scenario Analysis'!$D$4*Table1[[#This Row],[Number of vehicles]])*Table1[[#This Row],[Monthly Lease/Rent ]],"")</f>
        <v>187.5</v>
      </c>
      <c r="AJ30" s="44">
        <f>'ROI &amp; Scenario Analysis'!$D$4*Table1[[#This Row],[Monthly Insurance ]]</f>
        <v>11.25</v>
      </c>
      <c r="AK30" s="45">
        <f>(Table1[[#This Row],[Number of vehicles]] * Table1[[#This Row],[Avg monthly KM per vehicle]] *0.5)*(1-'General Info'!$E$23)</f>
        <v>2500</v>
      </c>
      <c r="AL30" s="44">
        <f>IF(Table1[[#This Row],[Fuel Type]]="Electric",
    (Table1[[#This Row],[Monthly KM reduced (50%)]] * (Table1[[#This Row],[Electric cons. (kWh/100km)]] / 100)) * 'General Info'!$E$12,
    (Table1[[#This Row],[Monthly KM reduced (50%)]] * (Table1[[#This Row],[Fuel cons. (l/100km)]] / 100)) *
      IF(Table1[[#This Row],[Fuel Type]]="Petrol", 'General Info'!$E$10, 'General Info'!$E$11)
)</f>
        <v>416.25</v>
      </c>
      <c r="AM30" s="44">
        <f>Table1[[#This Row],[Avg monthly maintenance]]*0.5*(1-'General Info'!$E$23)</f>
        <v>30</v>
      </c>
      <c r="AN30" s="44">
        <f>IF(OR(Table1[[#This Row],[Fuel Type]]="Petrol", Table1[[#This Row],[Fuel Type]]="Diesel"),
   Table1[[#This Row],[Monthly KM reduced (50%)]] * (Table1[[#This Row],[Fuel cons. (l/100km)]] / 100),
   "")</f>
        <v>225</v>
      </c>
      <c r="AO30" s="44" t="str">
        <f>IF(Table1[[#This Row],[Fuel Type]]="Electric",
   Table1[[#This Row],[Monthly KM reduced (50%)]] * (Table1[[#This Row],[Electric cons. (kWh/100km)]] / 100),
   "")</f>
        <v/>
      </c>
      <c r="AP30" s="44">
        <f>IF(Table1[[#This Row],[Fuel Type]]="Petrol",
   Table1[[#This Row],[Fuel Saved (50%)]] * 'General Info'!$E$14,
IF(Table1[[#This Row],[Fuel Type]]="Diesel",
   Table1[[#This Row],[Fuel Saved (50%)]] * 'General Info'!$E$13,
IF(Table1[[#This Row],[Fuel Type]]="Electric",
   Table1[[#This Row],[Energy Saved (50%)]] * 'General Info'!$E$15,
"")))</f>
        <v>519.75</v>
      </c>
      <c r="AQ30" s="44" t="str">
        <f>IF(D30="Owned",('ROI &amp; Scenario Analysis'!$E$4*Table1[[#This Row],[Number of vehicles]])*Table1[[#This Row],[Monthly depreciation]],"")</f>
        <v/>
      </c>
      <c r="AR30" s="44">
        <f>IF(D30="Rented",('ROI &amp; Scenario Analysis'!$E$4*Table1[[#This Row],[Number of vehicles]])*Table1[[#This Row],[Monthly Lease/Rent ]],"")</f>
        <v>375</v>
      </c>
      <c r="AS30" s="44">
        <f>'ROI &amp; Scenario Analysis'!$E$4*Table1[[#This Row],[Monthly Insurance ]]</f>
        <v>22.5</v>
      </c>
      <c r="AT30">
        <f>Table1[[#This Row],[Number of vehicles]] * Table1[[#This Row],[Avg monthly KM per vehicle]] * ('General Info'!$E$22) * (1 - 'General Info'!$E$23)</f>
        <v>1000</v>
      </c>
      <c r="AU30">
        <f>IF(OR(Table1[[#This Row],[Fuel Type]]="Petrol", Table1[[#This Row],[Fuel Type]]="Diesel"),
   Table1[ [#This Row],[Monthly KM Reduced (User %)] ] * (Table1[[#This Row],[Fuel cons. (l/100km)]] / 100),
   "")</f>
        <v>90</v>
      </c>
      <c r="AV30" t="str">
        <f>IF(Table1[[#This Row],[Fuel Type]]="Electric",
   Table1[ [#This Row],[Monthly KM Reduced (User %)] ] * (Table1[[#This Row],[Electric cons. (kWh/100km)]] / 100),
   "")</f>
        <v/>
      </c>
      <c r="AW30">
        <f>IF(Table1[[#This Row],[Fuel Type]]="Petrol",
   Table1[[#This Row],[Fuel Saved (User %)]] * 'General Info'!$E$10,
IF(Table1[[#This Row],[Fuel Type]]="Diesel",
   Table1[[#This Row],[Fuel Saved (User %)]] * 'General Info'!$E$11,
IF(Table1[[#This Row],[Fuel Type]]="Electric",
   Table1[[#This Row],[Energy Saved (User %)]] * 'General Info'!$E$12,
"")))</f>
        <v>166.5</v>
      </c>
      <c r="AX30">
        <f>IF(Table1[[#This Row],[Fuel Type]]="Petrol",
   Table1[[#This Row],[Fuel Saved (User %)]] * 'General Info'!$E$14,
IF(Table1[[#This Row],[Fuel Type]]="Diesel",
   Table1[[#This Row],[Fuel Saved (User %)]] * 'General Info'!$E$13,
IF(Table1[[#This Row],[Fuel Type]]="Electric",
   Table1[[#This Row],[Energy Saved (User %)]] * 'General Info'!$E$15,
"")))</f>
        <v>207.9</v>
      </c>
      <c r="AY30" s="4">
        <f>Table1[[#This Row],[Avg monthly maintenance]]*'General Info'!$E$22*(1-'General Info'!$E$23)</f>
        <v>12</v>
      </c>
      <c r="AZ30" t="str">
        <f>IF(D30="Owned",('ROI &amp; Scenario Analysis'!$B$4*Table1[[#This Row],[Number of vehicles]])*Table1[[#This Row],[Monthly depreciation]],"")</f>
        <v/>
      </c>
      <c r="BA30">
        <f>IF(D30="Rented",('ROI &amp; Scenario Analysis'!$B$4*Table1[[#This Row],[Number of vehicles]])*Table1[[#This Row],[Monthly Lease/Rent ]],"")</f>
        <v>150</v>
      </c>
      <c r="BB30">
        <f>'ROI &amp; Scenario Analysis'!$B$4*Table1[[#This Row],[Monthly Insurance ]]</f>
        <v>9</v>
      </c>
    </row>
    <row r="31" spans="2:54" x14ac:dyDescent="0.3">
      <c r="B31" s="55" t="s">
        <v>91</v>
      </c>
      <c r="C31" s="55" t="s">
        <v>92</v>
      </c>
      <c r="D31" s="55" t="s">
        <v>93</v>
      </c>
      <c r="E31" s="55">
        <v>8</v>
      </c>
      <c r="F31" s="55">
        <v>1800</v>
      </c>
      <c r="G31" s="55">
        <v>11</v>
      </c>
      <c r="H31" s="55"/>
      <c r="I31" s="55"/>
      <c r="J31" s="55">
        <v>120</v>
      </c>
      <c r="K31" s="55">
        <v>180</v>
      </c>
      <c r="L31" s="55">
        <v>40000</v>
      </c>
      <c r="M31" s="55">
        <v>2020</v>
      </c>
      <c r="N31" s="55">
        <v>8</v>
      </c>
      <c r="O31" s="55">
        <v>8000</v>
      </c>
      <c r="P31" s="44">
        <f t="shared" si="0"/>
        <v>333.33333333333331</v>
      </c>
      <c r="Q31"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297</v>
      </c>
      <c r="R31"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930.33333333333326</v>
      </c>
      <c r="S31" s="45">
        <f>(Table1[[#This Row],[Number of vehicles]] * Table1[[#This Row],[Avg monthly KM per vehicle]] *0.1)*(1-'General Info'!$E$23)</f>
        <v>720</v>
      </c>
      <c r="T31" s="44">
        <f>IF(Table1[[#This Row],[Fuel Type]]="Electric",
    (Table1[[#This Row],[Monthly KM reduced (10%)]] * (Table1[[#This Row],[Electric cons. (kWh/100km)]] / 100)) * 'General Info'!$E$12,
    (Table1[[#This Row],[Monthly KM reduced (10%)]] * (Table1[[#This Row],[Fuel cons. (l/100km)]] / 100)) *
      IF(Table1[[#This Row],[Fuel Type]]="Petrol", 'General Info'!$E$10, 'General Info'!$E$11)
)</f>
        <v>118.80000000000001</v>
      </c>
      <c r="U31" s="44">
        <f>Table1[[#This Row],[Avg monthly maintenance]]*0.1*(1-'General Info'!$E$23)</f>
        <v>9</v>
      </c>
      <c r="V31" s="44">
        <f>IF(OR(Table1[[#This Row],[Fuel Type]]="Petrol", Table1[[#This Row],[Fuel Type]]="Diesel"),
   Table1[[#This Row],[Monthly KM reduced (10%)]] * (Table1[[#This Row],[Fuel cons. (l/100km)]] / 100),
   "")</f>
        <v>79.2</v>
      </c>
      <c r="W31" s="44" t="str">
        <f>IF(Table1[[#This Row],[Fuel Type]]="Electric",
   Table1[[#This Row],[Monthly KM reduced (10%)]] * (Table1[[#This Row],[Electric cons. (kWh/100km)]] / 100),
   "")</f>
        <v/>
      </c>
      <c r="X31" s="44">
        <f>IF(Table1[[#This Row],[Fuel Type]]="Petrol",
   Table1[[#This Row],[Fuel saved (10%)]] * 'General Info'!$E$14,
IF(Table1[[#This Row],[Fuel Type]]="Diesel",
   Table1[[#This Row],[Fuel saved (10%)]] * 'General Info'!$E$13,
IF(Table1[[#This Row],[Fuel Type]]="Electric",
   Table1[[#This Row],[Energy saved (10%)]] * 'General Info'!$E$15,
"")))</f>
        <v>212.25600000000003</v>
      </c>
      <c r="Y31" s="44">
        <f>IF(D31="Owned",('ROI &amp; Scenario Analysis'!$C$4*Table1[[#This Row],[Number of vehicles]])*Table1[[#This Row],[Monthly depreciation]],"")</f>
        <v>159.99999999999997</v>
      </c>
      <c r="Z31" s="44" t="str">
        <f>IF(D31="Rented",('ROI &amp; Scenario Analysis'!$C$4*Table1[[#This Row],[Number of vehicles]])*Table1[[#This Row],[Monthly Lease/Rent ]],"")</f>
        <v/>
      </c>
      <c r="AA31" s="44">
        <f>'ROI &amp; Scenario Analysis'!$C$4*Table1[[#This Row],[Monthly Insurance ]]</f>
        <v>7.1999999999999993</v>
      </c>
      <c r="AB31" s="45">
        <f>(Table1[[#This Row],[Number of vehicles]] * Table1[[#This Row],[Avg monthly KM per vehicle]] *0.25)*(1-'General Info'!$E$23)</f>
        <v>1800</v>
      </c>
      <c r="AC31" s="44">
        <f>IF(Table1[[#This Row],[Fuel Type]]="Electric",
    (Table1[[#This Row],[Monthly KM reduced (25%)]] * (Table1[[#This Row],[Electric cons. (kWh/100km)]] / 100)) * 'General Info'!$E$12,
    (Table1[[#This Row],[Monthly KM reduced (25%)]] * (Table1[[#This Row],[Fuel cons. (l/100km)]] / 100)) *
      IF(Table1[[#This Row],[Fuel Type]]="Petrol", 'General Info'!$E$10, 'General Info'!$E$11)
)</f>
        <v>297</v>
      </c>
      <c r="AD31" s="44">
        <f>Table1[[#This Row],[Avg monthly maintenance]]*0.25*(1-'General Info'!$E$23)</f>
        <v>22.5</v>
      </c>
      <c r="AE31" s="44">
        <f>IF(OR(Table1[[#This Row],[Fuel Type]]="Petrol", Table1[[#This Row],[Fuel Type]]="Diesel"),
   Table1[[#This Row],[Monthly KM reduced (25%)]] * (Table1[[#This Row],[Fuel cons. (l/100km)]] / 100),
   "")</f>
        <v>198</v>
      </c>
      <c r="AF31" s="44" t="str">
        <f>IF(Table1[[#This Row],[Fuel Type]]="Electric",
   Table1[[#This Row],[Monthly KM reduced (25%)]] * (Table1[[#This Row],[Electric cons. (kWh/100km)]] / 100),
   "")</f>
        <v/>
      </c>
      <c r="AG31" s="44">
        <f>IF(Table1[[#This Row],[Fuel Type]]="Petrol",
   Table1[[#This Row],[Fuel Saved (25%)]] * 'General Info'!$E$14,
IF(Table1[[#This Row],[Fuel Type]]="Diesel",
   Table1[[#This Row],[Fuel Saved (25%)]] * 'General Info'!$E$13,
IF(Table1[[#This Row],[Fuel Type]]="Electric",
   Table1[[#This Row],[Energy Saved (25%)]] * 'General Info'!$E$15,
"")))</f>
        <v>530.64</v>
      </c>
      <c r="AH31" s="44">
        <f>IF(D31="Owned",('ROI &amp; Scenario Analysis'!$D$4*Table1[[#This Row],[Number of vehicles]])*Table1[[#This Row],[Monthly depreciation]],"")</f>
        <v>399.99999999999994</v>
      </c>
      <c r="AI31" s="44" t="str">
        <f>IF(D31="Rented",('ROI &amp; Scenario Analysis'!$D$4*Table1[[#This Row],[Number of vehicles]])*Table1[[#This Row],[Monthly Lease/Rent ]],"")</f>
        <v/>
      </c>
      <c r="AJ31" s="44">
        <f>'ROI &amp; Scenario Analysis'!$D$4*Table1[[#This Row],[Monthly Insurance ]]</f>
        <v>18</v>
      </c>
      <c r="AK31" s="45">
        <f>(Table1[[#This Row],[Number of vehicles]] * Table1[[#This Row],[Avg monthly KM per vehicle]] *0.5)*(1-'General Info'!$E$23)</f>
        <v>3600</v>
      </c>
      <c r="AL31" s="44">
        <f>IF(Table1[[#This Row],[Fuel Type]]="Electric",
    (Table1[[#This Row],[Monthly KM reduced (50%)]] * (Table1[[#This Row],[Electric cons. (kWh/100km)]] / 100)) * 'General Info'!$E$12,
    (Table1[[#This Row],[Monthly KM reduced (50%)]] * (Table1[[#This Row],[Fuel cons. (l/100km)]] / 100)) *
      IF(Table1[[#This Row],[Fuel Type]]="Petrol", 'General Info'!$E$10, 'General Info'!$E$11)
)</f>
        <v>594</v>
      </c>
      <c r="AM31" s="44">
        <f>Table1[[#This Row],[Avg monthly maintenance]]*0.5*(1-'General Info'!$E$23)</f>
        <v>45</v>
      </c>
      <c r="AN31" s="44">
        <f>IF(OR(Table1[[#This Row],[Fuel Type]]="Petrol", Table1[[#This Row],[Fuel Type]]="Diesel"),
   Table1[[#This Row],[Monthly KM reduced (50%)]] * (Table1[[#This Row],[Fuel cons. (l/100km)]] / 100),
   "")</f>
        <v>396</v>
      </c>
      <c r="AO31" s="44" t="str">
        <f>IF(Table1[[#This Row],[Fuel Type]]="Electric",
   Table1[[#This Row],[Monthly KM reduced (50%)]] * (Table1[[#This Row],[Electric cons. (kWh/100km)]] / 100),
   "")</f>
        <v/>
      </c>
      <c r="AP31" s="44">
        <f>IF(Table1[[#This Row],[Fuel Type]]="Petrol",
   Table1[[#This Row],[Fuel Saved (50%)]] * 'General Info'!$E$14,
IF(Table1[[#This Row],[Fuel Type]]="Diesel",
   Table1[[#This Row],[Fuel Saved (50%)]] * 'General Info'!$E$13,
IF(Table1[[#This Row],[Fuel Type]]="Electric",
   Table1[[#This Row],[Energy Saved (50%)]] * 'General Info'!$E$15,
"")))</f>
        <v>1061.28</v>
      </c>
      <c r="AQ31" s="44">
        <f>IF(D31="Owned",('ROI &amp; Scenario Analysis'!$E$4*Table1[[#This Row],[Number of vehicles]])*Table1[[#This Row],[Monthly depreciation]],"")</f>
        <v>799.99999999999989</v>
      </c>
      <c r="AR31" s="44" t="str">
        <f>IF(D31="Rented",('ROI &amp; Scenario Analysis'!$E$4*Table1[[#This Row],[Number of vehicles]])*Table1[[#This Row],[Monthly Lease/Rent ]],"")</f>
        <v/>
      </c>
      <c r="AS31" s="44">
        <f>'ROI &amp; Scenario Analysis'!$E$4*Table1[[#This Row],[Monthly Insurance ]]</f>
        <v>36</v>
      </c>
      <c r="AT31">
        <f>Table1[[#This Row],[Number of vehicles]] * Table1[[#This Row],[Avg monthly KM per vehicle]] * ('General Info'!$E$22) * (1 - 'General Info'!$E$23)</f>
        <v>1440</v>
      </c>
      <c r="AU31">
        <f>IF(OR(Table1[[#This Row],[Fuel Type]]="Petrol", Table1[[#This Row],[Fuel Type]]="Diesel"),
   Table1[ [#This Row],[Monthly KM Reduced (User %)] ] * (Table1[[#This Row],[Fuel cons. (l/100km)]] / 100),
   "")</f>
        <v>158.4</v>
      </c>
      <c r="AV31" t="str">
        <f>IF(Table1[[#This Row],[Fuel Type]]="Electric",
   Table1[ [#This Row],[Monthly KM Reduced (User %)] ] * (Table1[[#This Row],[Electric cons. (kWh/100km)]] / 100),
   "")</f>
        <v/>
      </c>
      <c r="AW31">
        <f>IF(Table1[[#This Row],[Fuel Type]]="Petrol",
   Table1[[#This Row],[Fuel Saved (User %)]] * 'General Info'!$E$10,
IF(Table1[[#This Row],[Fuel Type]]="Diesel",
   Table1[[#This Row],[Fuel Saved (User %)]] * 'General Info'!$E$11,
IF(Table1[[#This Row],[Fuel Type]]="Electric",
   Table1[[#This Row],[Energy Saved (User %)]] * 'General Info'!$E$12,
"")))</f>
        <v>237.60000000000002</v>
      </c>
      <c r="AX31">
        <f>IF(Table1[[#This Row],[Fuel Type]]="Petrol",
   Table1[[#This Row],[Fuel Saved (User %)]] * 'General Info'!$E$14,
IF(Table1[[#This Row],[Fuel Type]]="Diesel",
   Table1[[#This Row],[Fuel Saved (User %)]] * 'General Info'!$E$13,
IF(Table1[[#This Row],[Fuel Type]]="Electric",
   Table1[[#This Row],[Energy Saved (User %)]] * 'General Info'!$E$15,
"")))</f>
        <v>424.51200000000006</v>
      </c>
      <c r="AY31" s="4">
        <f>Table1[[#This Row],[Avg monthly maintenance]]*'General Info'!$E$22*(1-'General Info'!$E$23)</f>
        <v>18</v>
      </c>
      <c r="AZ31">
        <f>IF(D31="Owned",('ROI &amp; Scenario Analysis'!$B$4*Table1[[#This Row],[Number of vehicles]])*Table1[[#This Row],[Monthly depreciation]],"")</f>
        <v>319.99999999999994</v>
      </c>
      <c r="BA31" t="str">
        <f>IF(D31="Rented",('ROI &amp; Scenario Analysis'!$B$4*Table1[[#This Row],[Number of vehicles]])*Table1[[#This Row],[Monthly Lease/Rent ]],"")</f>
        <v/>
      </c>
      <c r="BB31">
        <f>'ROI &amp; Scenario Analysis'!$B$4*Table1[[#This Row],[Monthly Insurance ]]</f>
        <v>14.399999999999999</v>
      </c>
    </row>
    <row r="32" spans="2:54" x14ac:dyDescent="0.3">
      <c r="B32" s="55" t="s">
        <v>94</v>
      </c>
      <c r="C32" s="55" t="s">
        <v>92</v>
      </c>
      <c r="D32" s="55" t="s">
        <v>90</v>
      </c>
      <c r="E32" s="55">
        <v>3</v>
      </c>
      <c r="F32" s="55">
        <v>1400</v>
      </c>
      <c r="G32" s="55">
        <v>14</v>
      </c>
      <c r="H32" s="55"/>
      <c r="I32" s="55">
        <v>350</v>
      </c>
      <c r="J32" s="55">
        <v>90</v>
      </c>
      <c r="K32" s="55">
        <v>200</v>
      </c>
      <c r="L32" s="55"/>
      <c r="M32" s="55"/>
      <c r="N32" s="55"/>
      <c r="O32" s="55"/>
      <c r="P32" s="44" t="str">
        <f t="shared" si="0"/>
        <v/>
      </c>
      <c r="Q32"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294</v>
      </c>
      <c r="R32"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934</v>
      </c>
      <c r="S32" s="45">
        <f>(Table1[[#This Row],[Number of vehicles]] * Table1[[#This Row],[Avg monthly KM per vehicle]] *0.1)*(1-'General Info'!$E$23)</f>
        <v>210</v>
      </c>
      <c r="T32" s="44">
        <f>IF(Table1[[#This Row],[Fuel Type]]="Electric",
    (Table1[[#This Row],[Monthly KM reduced (10%)]] * (Table1[[#This Row],[Electric cons. (kWh/100km)]] / 100)) * 'General Info'!$E$12,
    (Table1[[#This Row],[Monthly KM reduced (10%)]] * (Table1[[#This Row],[Fuel cons. (l/100km)]] / 100)) *
      IF(Table1[[#This Row],[Fuel Type]]="Petrol", 'General Info'!$E$10, 'General Info'!$E$11)
)</f>
        <v>44.1</v>
      </c>
      <c r="U32" s="44">
        <f>Table1[[#This Row],[Avg monthly maintenance]]*0.1*(1-'General Info'!$E$23)</f>
        <v>10</v>
      </c>
      <c r="V32" s="44">
        <f>IF(OR(Table1[[#This Row],[Fuel Type]]="Petrol", Table1[[#This Row],[Fuel Type]]="Diesel"),
   Table1[[#This Row],[Monthly KM reduced (10%)]] * (Table1[[#This Row],[Fuel cons. (l/100km)]] / 100),
   "")</f>
        <v>29.400000000000002</v>
      </c>
      <c r="W32" s="44" t="str">
        <f>IF(Table1[[#This Row],[Fuel Type]]="Electric",
   Table1[[#This Row],[Monthly KM reduced (10%)]] * (Table1[[#This Row],[Electric cons. (kWh/100km)]] / 100),
   "")</f>
        <v/>
      </c>
      <c r="X32" s="44">
        <f>IF(Table1[[#This Row],[Fuel Type]]="Petrol",
   Table1[[#This Row],[Fuel saved (10%)]] * 'General Info'!$E$14,
IF(Table1[[#This Row],[Fuel Type]]="Diesel",
   Table1[[#This Row],[Fuel saved (10%)]] * 'General Info'!$E$13,
IF(Table1[[#This Row],[Fuel Type]]="Electric",
   Table1[[#This Row],[Energy saved (10%)]] * 'General Info'!$E$15,
"")))</f>
        <v>78.792000000000016</v>
      </c>
      <c r="Y32" s="44" t="str">
        <f>IF(D32="Owned",('ROI &amp; Scenario Analysis'!$C$4*Table1[[#This Row],[Number of vehicles]])*Table1[[#This Row],[Monthly depreciation]],"")</f>
        <v/>
      </c>
      <c r="Z32" s="44">
        <f>IF(D32="Rented",('ROI &amp; Scenario Analysis'!$C$4*Table1[[#This Row],[Number of vehicles]])*Table1[[#This Row],[Monthly Lease/Rent ]],"")</f>
        <v>63</v>
      </c>
      <c r="AA32" s="44">
        <f>'ROI &amp; Scenario Analysis'!$C$4*Table1[[#This Row],[Monthly Insurance ]]</f>
        <v>5.3999999999999995</v>
      </c>
      <c r="AB32" s="45">
        <f>(Table1[[#This Row],[Number of vehicles]] * Table1[[#This Row],[Avg monthly KM per vehicle]] *0.25)*(1-'General Info'!$E$23)</f>
        <v>525</v>
      </c>
      <c r="AC32" s="44">
        <f>IF(Table1[[#This Row],[Fuel Type]]="Electric",
    (Table1[[#This Row],[Monthly KM reduced (25%)]] * (Table1[[#This Row],[Electric cons. (kWh/100km)]] / 100)) * 'General Info'!$E$12,
    (Table1[[#This Row],[Monthly KM reduced (25%)]] * (Table1[[#This Row],[Fuel cons. (l/100km)]] / 100)) *
      IF(Table1[[#This Row],[Fuel Type]]="Petrol", 'General Info'!$E$10, 'General Info'!$E$11)
)</f>
        <v>110.25</v>
      </c>
      <c r="AD32" s="44">
        <f>Table1[[#This Row],[Avg monthly maintenance]]*0.25*(1-'General Info'!$E$23)</f>
        <v>25</v>
      </c>
      <c r="AE32" s="44">
        <f>IF(OR(Table1[[#This Row],[Fuel Type]]="Petrol", Table1[[#This Row],[Fuel Type]]="Diesel"),
   Table1[[#This Row],[Monthly KM reduced (25%)]] * (Table1[[#This Row],[Fuel cons. (l/100km)]] / 100),
   "")</f>
        <v>73.5</v>
      </c>
      <c r="AF32" s="44" t="str">
        <f>IF(Table1[[#This Row],[Fuel Type]]="Electric",
   Table1[[#This Row],[Monthly KM reduced (25%)]] * (Table1[[#This Row],[Electric cons. (kWh/100km)]] / 100),
   "")</f>
        <v/>
      </c>
      <c r="AG32" s="44">
        <f>IF(Table1[[#This Row],[Fuel Type]]="Petrol",
   Table1[[#This Row],[Fuel Saved (25%)]] * 'General Info'!$E$14,
IF(Table1[[#This Row],[Fuel Type]]="Diesel",
   Table1[[#This Row],[Fuel Saved (25%)]] * 'General Info'!$E$13,
IF(Table1[[#This Row],[Fuel Type]]="Electric",
   Table1[[#This Row],[Energy Saved (25%)]] * 'General Info'!$E$15,
"")))</f>
        <v>196.98000000000002</v>
      </c>
      <c r="AH32" s="44" t="str">
        <f>IF(D32="Owned",('ROI &amp; Scenario Analysis'!$D$4*Table1[[#This Row],[Number of vehicles]])*Table1[[#This Row],[Monthly depreciation]],"")</f>
        <v/>
      </c>
      <c r="AI32" s="44">
        <f>IF(D32="Rented",('ROI &amp; Scenario Analysis'!$D$4*Table1[[#This Row],[Number of vehicles]])*Table1[[#This Row],[Monthly Lease/Rent ]],"")</f>
        <v>157.49999999999997</v>
      </c>
      <c r="AJ32" s="44">
        <f>'ROI &amp; Scenario Analysis'!$D$4*Table1[[#This Row],[Monthly Insurance ]]</f>
        <v>13.5</v>
      </c>
      <c r="AK32" s="45">
        <f>(Table1[[#This Row],[Number of vehicles]] * Table1[[#This Row],[Avg monthly KM per vehicle]] *0.5)*(1-'General Info'!$E$23)</f>
        <v>1050</v>
      </c>
      <c r="AL32" s="44">
        <f>IF(Table1[[#This Row],[Fuel Type]]="Electric",
    (Table1[[#This Row],[Monthly KM reduced (50%)]] * (Table1[[#This Row],[Electric cons. (kWh/100km)]] / 100)) * 'General Info'!$E$12,
    (Table1[[#This Row],[Monthly KM reduced (50%)]] * (Table1[[#This Row],[Fuel cons. (l/100km)]] / 100)) *
      IF(Table1[[#This Row],[Fuel Type]]="Petrol", 'General Info'!$E$10, 'General Info'!$E$11)
)</f>
        <v>220.5</v>
      </c>
      <c r="AM32" s="44">
        <f>Table1[[#This Row],[Avg monthly maintenance]]*0.5*(1-'General Info'!$E$23)</f>
        <v>50</v>
      </c>
      <c r="AN32" s="44">
        <f>IF(OR(Table1[[#This Row],[Fuel Type]]="Petrol", Table1[[#This Row],[Fuel Type]]="Diesel"),
   Table1[[#This Row],[Monthly KM reduced (50%)]] * (Table1[[#This Row],[Fuel cons. (l/100km)]] / 100),
   "")</f>
        <v>147</v>
      </c>
      <c r="AO32" s="44" t="str">
        <f>IF(Table1[[#This Row],[Fuel Type]]="Electric",
   Table1[[#This Row],[Monthly KM reduced (50%)]] * (Table1[[#This Row],[Electric cons. (kWh/100km)]] / 100),
   "")</f>
        <v/>
      </c>
      <c r="AP32" s="44">
        <f>IF(Table1[[#This Row],[Fuel Type]]="Petrol",
   Table1[[#This Row],[Fuel Saved (50%)]] * 'General Info'!$E$14,
IF(Table1[[#This Row],[Fuel Type]]="Diesel",
   Table1[[#This Row],[Fuel Saved (50%)]] * 'General Info'!$E$13,
IF(Table1[[#This Row],[Fuel Type]]="Electric",
   Table1[[#This Row],[Energy Saved (50%)]] * 'General Info'!$E$15,
"")))</f>
        <v>393.96000000000004</v>
      </c>
      <c r="AQ32" s="44" t="str">
        <f>IF(D32="Owned",('ROI &amp; Scenario Analysis'!$E$4*Table1[[#This Row],[Number of vehicles]])*Table1[[#This Row],[Monthly depreciation]],"")</f>
        <v/>
      </c>
      <c r="AR32" s="44">
        <f>IF(D32="Rented",('ROI &amp; Scenario Analysis'!$E$4*Table1[[#This Row],[Number of vehicles]])*Table1[[#This Row],[Monthly Lease/Rent ]],"")</f>
        <v>314.99999999999994</v>
      </c>
      <c r="AS32" s="44">
        <f>'ROI &amp; Scenario Analysis'!$E$4*Table1[[#This Row],[Monthly Insurance ]]</f>
        <v>27</v>
      </c>
      <c r="AT32">
        <f>Table1[[#This Row],[Number of vehicles]] * Table1[[#This Row],[Avg monthly KM per vehicle]] * ('General Info'!$E$22) * (1 - 'General Info'!$E$23)</f>
        <v>420</v>
      </c>
      <c r="AU32">
        <f>IF(OR(Table1[[#This Row],[Fuel Type]]="Petrol", Table1[[#This Row],[Fuel Type]]="Diesel"),
   Table1[ [#This Row],[Monthly KM Reduced (User %)] ] * (Table1[[#This Row],[Fuel cons. (l/100km)]] / 100),
   "")</f>
        <v>58.800000000000004</v>
      </c>
      <c r="AV32" t="str">
        <f>IF(Table1[[#This Row],[Fuel Type]]="Electric",
   Table1[ [#This Row],[Monthly KM Reduced (User %)] ] * (Table1[[#This Row],[Electric cons. (kWh/100km)]] / 100),
   "")</f>
        <v/>
      </c>
      <c r="AW32">
        <f>IF(Table1[[#This Row],[Fuel Type]]="Petrol",
   Table1[[#This Row],[Fuel Saved (User %)]] * 'General Info'!$E$10,
IF(Table1[[#This Row],[Fuel Type]]="Diesel",
   Table1[[#This Row],[Fuel Saved (User %)]] * 'General Info'!$E$11,
IF(Table1[[#This Row],[Fuel Type]]="Electric",
   Table1[[#This Row],[Energy Saved (User %)]] * 'General Info'!$E$12,
"")))</f>
        <v>88.2</v>
      </c>
      <c r="AX32">
        <f>IF(Table1[[#This Row],[Fuel Type]]="Petrol",
   Table1[[#This Row],[Fuel Saved (User %)]] * 'General Info'!$E$14,
IF(Table1[[#This Row],[Fuel Type]]="Diesel",
   Table1[[#This Row],[Fuel Saved (User %)]] * 'General Info'!$E$13,
IF(Table1[[#This Row],[Fuel Type]]="Electric",
   Table1[[#This Row],[Energy Saved (User %)]] * 'General Info'!$E$15,
"")))</f>
        <v>157.58400000000003</v>
      </c>
      <c r="AY32" s="4">
        <f>Table1[[#This Row],[Avg monthly maintenance]]*'General Info'!$E$22*(1-'General Info'!$E$23)</f>
        <v>20</v>
      </c>
      <c r="AZ32" t="str">
        <f>IF(D32="Owned",('ROI &amp; Scenario Analysis'!$B$4*Table1[[#This Row],[Number of vehicles]])*Table1[[#This Row],[Monthly depreciation]],"")</f>
        <v/>
      </c>
      <c r="BA32">
        <f>IF(D32="Rented",('ROI &amp; Scenario Analysis'!$B$4*Table1[[#This Row],[Number of vehicles]])*Table1[[#This Row],[Monthly Lease/Rent ]],"")</f>
        <v>126</v>
      </c>
      <c r="BB32">
        <f>'ROI &amp; Scenario Analysis'!$B$4*Table1[[#This Row],[Monthly Insurance ]]</f>
        <v>10.799999999999999</v>
      </c>
    </row>
    <row r="33" spans="2:54" x14ac:dyDescent="0.3">
      <c r="B33" s="55" t="s">
        <v>88</v>
      </c>
      <c r="C33" s="55" t="s">
        <v>89</v>
      </c>
      <c r="D33" s="55" t="s">
        <v>93</v>
      </c>
      <c r="E33" s="55">
        <v>7</v>
      </c>
      <c r="F33" s="55">
        <v>1200</v>
      </c>
      <c r="G33" s="55">
        <v>7</v>
      </c>
      <c r="H33" s="55"/>
      <c r="I33" s="55"/>
      <c r="J33" s="55">
        <v>70</v>
      </c>
      <c r="K33" s="55">
        <v>110</v>
      </c>
      <c r="L33" s="55">
        <v>18000</v>
      </c>
      <c r="M33" s="55">
        <v>2021</v>
      </c>
      <c r="N33" s="55">
        <v>7</v>
      </c>
      <c r="O33" s="55">
        <v>3000</v>
      </c>
      <c r="P33" s="44">
        <f t="shared" si="0"/>
        <v>178.57142857142856</v>
      </c>
      <c r="Q33"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155.4</v>
      </c>
      <c r="R33"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513.97142857142853</v>
      </c>
      <c r="S33" s="45">
        <f>(Table1[[#This Row],[Number of vehicles]] * Table1[[#This Row],[Avg monthly KM per vehicle]] *0.1)*(1-'General Info'!$E$23)</f>
        <v>420</v>
      </c>
      <c r="T33" s="44">
        <f>IF(Table1[[#This Row],[Fuel Type]]="Electric",
    (Table1[[#This Row],[Monthly KM reduced (10%)]] * (Table1[[#This Row],[Electric cons. (kWh/100km)]] / 100)) * 'General Info'!$E$12,
    (Table1[[#This Row],[Monthly KM reduced (10%)]] * (Table1[[#This Row],[Fuel cons. (l/100km)]] / 100)) *
      IF(Table1[[#This Row],[Fuel Type]]="Petrol", 'General Info'!$E$10, 'General Info'!$E$11)
)</f>
        <v>54.390000000000008</v>
      </c>
      <c r="U33" s="44">
        <f>Table1[[#This Row],[Avg monthly maintenance]]*0.1*(1-'General Info'!$E$23)</f>
        <v>5.5</v>
      </c>
      <c r="V33" s="44">
        <f>IF(OR(Table1[[#This Row],[Fuel Type]]="Petrol", Table1[[#This Row],[Fuel Type]]="Diesel"),
   Table1[[#This Row],[Monthly KM reduced (10%)]] * (Table1[[#This Row],[Fuel cons. (l/100km)]] / 100),
   "")</f>
        <v>29.400000000000002</v>
      </c>
      <c r="W33" s="44" t="str">
        <f>IF(Table1[[#This Row],[Fuel Type]]="Electric",
   Table1[[#This Row],[Monthly KM reduced (10%)]] * (Table1[[#This Row],[Electric cons. (kWh/100km)]] / 100),
   "")</f>
        <v/>
      </c>
      <c r="X33" s="44">
        <f>IF(Table1[[#This Row],[Fuel Type]]="Petrol",
   Table1[[#This Row],[Fuel saved (10%)]] * 'General Info'!$E$14,
IF(Table1[[#This Row],[Fuel Type]]="Diesel",
   Table1[[#This Row],[Fuel saved (10%)]] * 'General Info'!$E$13,
IF(Table1[[#This Row],[Fuel Type]]="Electric",
   Table1[[#This Row],[Energy saved (10%)]] * 'General Info'!$E$15,
"")))</f>
        <v>67.914000000000001</v>
      </c>
      <c r="Y33" s="44">
        <f>IF(D33="Owned",('ROI &amp; Scenario Analysis'!$C$4*Table1[[#This Row],[Number of vehicles]])*Table1[[#This Row],[Monthly depreciation]],"")</f>
        <v>74.999999999999986</v>
      </c>
      <c r="Z33" s="44" t="str">
        <f>IF(D33="Rented",('ROI &amp; Scenario Analysis'!$C$4*Table1[[#This Row],[Number of vehicles]])*Table1[[#This Row],[Monthly Lease/Rent ]],"")</f>
        <v/>
      </c>
      <c r="AA33" s="44">
        <f>'ROI &amp; Scenario Analysis'!$C$4*Table1[[#This Row],[Monthly Insurance ]]</f>
        <v>4.2</v>
      </c>
      <c r="AB33" s="45">
        <f>(Table1[[#This Row],[Number of vehicles]] * Table1[[#This Row],[Avg monthly KM per vehicle]] *0.25)*(1-'General Info'!$E$23)</f>
        <v>1050</v>
      </c>
      <c r="AC33" s="44">
        <f>IF(Table1[[#This Row],[Fuel Type]]="Electric",
    (Table1[[#This Row],[Monthly KM reduced (25%)]] * (Table1[[#This Row],[Electric cons. (kWh/100km)]] / 100)) * 'General Info'!$E$12,
    (Table1[[#This Row],[Monthly KM reduced (25%)]] * (Table1[[#This Row],[Fuel cons. (l/100km)]] / 100)) *
      IF(Table1[[#This Row],[Fuel Type]]="Petrol", 'General Info'!$E$10, 'General Info'!$E$11)
)</f>
        <v>135.97499999999999</v>
      </c>
      <c r="AD33" s="44">
        <f>Table1[[#This Row],[Avg monthly maintenance]]*0.25*(1-'General Info'!$E$23)</f>
        <v>13.75</v>
      </c>
      <c r="AE33" s="44">
        <f>IF(OR(Table1[[#This Row],[Fuel Type]]="Petrol", Table1[[#This Row],[Fuel Type]]="Diesel"),
   Table1[[#This Row],[Monthly KM reduced (25%)]] * (Table1[[#This Row],[Fuel cons. (l/100km)]] / 100),
   "")</f>
        <v>73.5</v>
      </c>
      <c r="AF33" s="44" t="str">
        <f>IF(Table1[[#This Row],[Fuel Type]]="Electric",
   Table1[[#This Row],[Monthly KM reduced (25%)]] * (Table1[[#This Row],[Electric cons. (kWh/100km)]] / 100),
   "")</f>
        <v/>
      </c>
      <c r="AG33" s="44">
        <f>IF(Table1[[#This Row],[Fuel Type]]="Petrol",
   Table1[[#This Row],[Fuel Saved (25%)]] * 'General Info'!$E$14,
IF(Table1[[#This Row],[Fuel Type]]="Diesel",
   Table1[[#This Row],[Fuel Saved (25%)]] * 'General Info'!$E$13,
IF(Table1[[#This Row],[Fuel Type]]="Electric",
   Table1[[#This Row],[Energy Saved (25%)]] * 'General Info'!$E$15,
"")))</f>
        <v>169.785</v>
      </c>
      <c r="AH33" s="44">
        <f>IF(D33="Owned",('ROI &amp; Scenario Analysis'!$D$4*Table1[[#This Row],[Number of vehicles]])*Table1[[#This Row],[Monthly depreciation]],"")</f>
        <v>187.5</v>
      </c>
      <c r="AI33" s="44" t="str">
        <f>IF(D33="Rented",('ROI &amp; Scenario Analysis'!$D$4*Table1[[#This Row],[Number of vehicles]])*Table1[[#This Row],[Monthly Lease/Rent ]],"")</f>
        <v/>
      </c>
      <c r="AJ33" s="44">
        <f>'ROI &amp; Scenario Analysis'!$D$4*Table1[[#This Row],[Monthly Insurance ]]</f>
        <v>10.5</v>
      </c>
      <c r="AK33" s="45">
        <f>(Table1[[#This Row],[Number of vehicles]] * Table1[[#This Row],[Avg monthly KM per vehicle]] *0.5)*(1-'General Info'!$E$23)</f>
        <v>2100</v>
      </c>
      <c r="AL33" s="44">
        <f>IF(Table1[[#This Row],[Fuel Type]]="Electric",
    (Table1[[#This Row],[Monthly KM reduced (50%)]] * (Table1[[#This Row],[Electric cons. (kWh/100km)]] / 100)) * 'General Info'!$E$12,
    (Table1[[#This Row],[Monthly KM reduced (50%)]] * (Table1[[#This Row],[Fuel cons. (l/100km)]] / 100)) *
      IF(Table1[[#This Row],[Fuel Type]]="Petrol", 'General Info'!$E$10, 'General Info'!$E$11)
)</f>
        <v>271.95</v>
      </c>
      <c r="AM33" s="44">
        <f>Table1[[#This Row],[Avg monthly maintenance]]*0.5*(1-'General Info'!$E$23)</f>
        <v>27.5</v>
      </c>
      <c r="AN33" s="44">
        <f>IF(OR(Table1[[#This Row],[Fuel Type]]="Petrol", Table1[[#This Row],[Fuel Type]]="Diesel"),
   Table1[[#This Row],[Monthly KM reduced (50%)]] * (Table1[[#This Row],[Fuel cons. (l/100km)]] / 100),
   "")</f>
        <v>147</v>
      </c>
      <c r="AO33" s="44" t="str">
        <f>IF(Table1[[#This Row],[Fuel Type]]="Electric",
   Table1[[#This Row],[Monthly KM reduced (50%)]] * (Table1[[#This Row],[Electric cons. (kWh/100km)]] / 100),
   "")</f>
        <v/>
      </c>
      <c r="AP33" s="44">
        <f>IF(Table1[[#This Row],[Fuel Type]]="Petrol",
   Table1[[#This Row],[Fuel Saved (50%)]] * 'General Info'!$E$14,
IF(Table1[[#This Row],[Fuel Type]]="Diesel",
   Table1[[#This Row],[Fuel Saved (50%)]] * 'General Info'!$E$13,
IF(Table1[[#This Row],[Fuel Type]]="Electric",
   Table1[[#This Row],[Energy Saved (50%)]] * 'General Info'!$E$15,
"")))</f>
        <v>339.57</v>
      </c>
      <c r="AQ33" s="44">
        <f>IF(D33="Owned",('ROI &amp; Scenario Analysis'!$E$4*Table1[[#This Row],[Number of vehicles]])*Table1[[#This Row],[Monthly depreciation]],"")</f>
        <v>375</v>
      </c>
      <c r="AR33" s="44" t="str">
        <f>IF(D33="Rented",('ROI &amp; Scenario Analysis'!$E$4*Table1[[#This Row],[Number of vehicles]])*Table1[[#This Row],[Monthly Lease/Rent ]],"")</f>
        <v/>
      </c>
      <c r="AS33" s="44">
        <f>'ROI &amp; Scenario Analysis'!$E$4*Table1[[#This Row],[Monthly Insurance ]]</f>
        <v>21</v>
      </c>
      <c r="AT33">
        <f>Table1[[#This Row],[Number of vehicles]] * Table1[[#This Row],[Avg monthly KM per vehicle]] * ('General Info'!$E$22) * (1 - 'General Info'!$E$23)</f>
        <v>840</v>
      </c>
      <c r="AU33">
        <f>IF(OR(Table1[[#This Row],[Fuel Type]]="Petrol", Table1[[#This Row],[Fuel Type]]="Diesel"),
   Table1[ [#This Row],[Monthly KM Reduced (User %)] ] * (Table1[[#This Row],[Fuel cons. (l/100km)]] / 100),
   "")</f>
        <v>58.800000000000004</v>
      </c>
      <c r="AV33" t="str">
        <f>IF(Table1[[#This Row],[Fuel Type]]="Electric",
   Table1[ [#This Row],[Monthly KM Reduced (User %)] ] * (Table1[[#This Row],[Electric cons. (kWh/100km)]] / 100),
   "")</f>
        <v/>
      </c>
      <c r="AW33">
        <f>IF(Table1[[#This Row],[Fuel Type]]="Petrol",
   Table1[[#This Row],[Fuel Saved (User %)]] * 'General Info'!$E$10,
IF(Table1[[#This Row],[Fuel Type]]="Diesel",
   Table1[[#This Row],[Fuel Saved (User %)]] * 'General Info'!$E$11,
IF(Table1[[#This Row],[Fuel Type]]="Electric",
   Table1[[#This Row],[Energy Saved (User %)]] * 'General Info'!$E$12,
"")))</f>
        <v>108.78000000000002</v>
      </c>
      <c r="AX33">
        <f>IF(Table1[[#This Row],[Fuel Type]]="Petrol",
   Table1[[#This Row],[Fuel Saved (User %)]] * 'General Info'!$E$14,
IF(Table1[[#This Row],[Fuel Type]]="Diesel",
   Table1[[#This Row],[Fuel Saved (User %)]] * 'General Info'!$E$13,
IF(Table1[[#This Row],[Fuel Type]]="Electric",
   Table1[[#This Row],[Energy Saved (User %)]] * 'General Info'!$E$15,
"")))</f>
        <v>135.828</v>
      </c>
      <c r="AY33" s="4">
        <f>Table1[[#This Row],[Avg monthly maintenance]]*'General Info'!$E$22*(1-'General Info'!$E$23)</f>
        <v>11</v>
      </c>
      <c r="AZ33">
        <f>IF(D33="Owned",('ROI &amp; Scenario Analysis'!$B$4*Table1[[#This Row],[Number of vehicles]])*Table1[[#This Row],[Monthly depreciation]],"")</f>
        <v>149.99999999999997</v>
      </c>
      <c r="BA33" t="str">
        <f>IF(D33="Rented",('ROI &amp; Scenario Analysis'!$B$4*Table1[[#This Row],[Number of vehicles]])*Table1[[#This Row],[Monthly Lease/Rent ]],"")</f>
        <v/>
      </c>
      <c r="BB33">
        <f>'ROI &amp; Scenario Analysis'!$B$4*Table1[[#This Row],[Monthly Insurance ]]</f>
        <v>8.4</v>
      </c>
    </row>
    <row r="34" spans="2:54" x14ac:dyDescent="0.3">
      <c r="B34" s="55" t="s">
        <v>94</v>
      </c>
      <c r="C34" s="55" t="s">
        <v>92</v>
      </c>
      <c r="D34" s="55" t="s">
        <v>93</v>
      </c>
      <c r="E34" s="55">
        <v>5</v>
      </c>
      <c r="F34" s="55">
        <v>1000</v>
      </c>
      <c r="G34" s="55">
        <v>10</v>
      </c>
      <c r="H34" s="55"/>
      <c r="I34" s="55"/>
      <c r="J34" s="55">
        <v>95</v>
      </c>
      <c r="K34" s="55">
        <v>150</v>
      </c>
      <c r="L34" s="55">
        <v>25000</v>
      </c>
      <c r="M34" s="55">
        <v>2019</v>
      </c>
      <c r="N34" s="55">
        <v>6</v>
      </c>
      <c r="O34" s="55">
        <v>4000</v>
      </c>
      <c r="P34" s="44">
        <f t="shared" si="0"/>
        <v>291.66666666666669</v>
      </c>
      <c r="Q34"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150</v>
      </c>
      <c r="R34"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686.66666666666674</v>
      </c>
      <c r="S34" s="45">
        <f>(Table1[[#This Row],[Number of vehicles]] * Table1[[#This Row],[Avg monthly KM per vehicle]] *0.1)*(1-'General Info'!$E$23)</f>
        <v>250</v>
      </c>
      <c r="T34" s="44">
        <f>IF(Table1[[#This Row],[Fuel Type]]="Electric",
    (Table1[[#This Row],[Monthly KM reduced (10%)]] * (Table1[[#This Row],[Electric cons. (kWh/100km)]] / 100)) * 'General Info'!$E$12,
    (Table1[[#This Row],[Monthly KM reduced (10%)]] * (Table1[[#This Row],[Fuel cons. (l/100km)]] / 100)) *
      IF(Table1[[#This Row],[Fuel Type]]="Petrol", 'General Info'!$E$10, 'General Info'!$E$11)
)</f>
        <v>37.5</v>
      </c>
      <c r="U34" s="44">
        <f>Table1[[#This Row],[Avg monthly maintenance]]*0.1*(1-'General Info'!$E$23)</f>
        <v>7.5</v>
      </c>
      <c r="V34" s="44">
        <f>IF(OR(Table1[[#This Row],[Fuel Type]]="Petrol", Table1[[#This Row],[Fuel Type]]="Diesel"),
   Table1[[#This Row],[Monthly KM reduced (10%)]] * (Table1[[#This Row],[Fuel cons. (l/100km)]] / 100),
   "")</f>
        <v>25</v>
      </c>
      <c r="W34" s="44" t="str">
        <f>IF(Table1[[#This Row],[Fuel Type]]="Electric",
   Table1[[#This Row],[Monthly KM reduced (10%)]] * (Table1[[#This Row],[Electric cons. (kWh/100km)]] / 100),
   "")</f>
        <v/>
      </c>
      <c r="X34" s="44">
        <f>IF(Table1[[#This Row],[Fuel Type]]="Petrol",
   Table1[[#This Row],[Fuel saved (10%)]] * 'General Info'!$E$14,
IF(Table1[[#This Row],[Fuel Type]]="Diesel",
   Table1[[#This Row],[Fuel saved (10%)]] * 'General Info'!$E$13,
IF(Table1[[#This Row],[Fuel Type]]="Electric",
   Table1[[#This Row],[Energy saved (10%)]] * 'General Info'!$E$15,
"")))</f>
        <v>67</v>
      </c>
      <c r="Y34" s="44">
        <f>IF(D34="Owned",('ROI &amp; Scenario Analysis'!$C$4*Table1[[#This Row],[Number of vehicles]])*Table1[[#This Row],[Monthly depreciation]],"")</f>
        <v>87.5</v>
      </c>
      <c r="Z34" s="44" t="str">
        <f>IF(D34="Rented",('ROI &amp; Scenario Analysis'!$C$4*Table1[[#This Row],[Number of vehicles]])*Table1[[#This Row],[Monthly Lease/Rent ]],"")</f>
        <v/>
      </c>
      <c r="AA34" s="44">
        <f>'ROI &amp; Scenario Analysis'!$C$4*Table1[[#This Row],[Monthly Insurance ]]</f>
        <v>5.7</v>
      </c>
      <c r="AB34" s="45">
        <f>(Table1[[#This Row],[Number of vehicles]] * Table1[[#This Row],[Avg monthly KM per vehicle]] *0.25)*(1-'General Info'!$E$23)</f>
        <v>625</v>
      </c>
      <c r="AC34" s="44">
        <f>IF(Table1[[#This Row],[Fuel Type]]="Electric",
    (Table1[[#This Row],[Monthly KM reduced (25%)]] * (Table1[[#This Row],[Electric cons. (kWh/100km)]] / 100)) * 'General Info'!$E$12,
    (Table1[[#This Row],[Monthly KM reduced (25%)]] * (Table1[[#This Row],[Fuel cons. (l/100km)]] / 100)) *
      IF(Table1[[#This Row],[Fuel Type]]="Petrol", 'General Info'!$E$10, 'General Info'!$E$11)
)</f>
        <v>93.75</v>
      </c>
      <c r="AD34" s="44">
        <f>Table1[[#This Row],[Avg monthly maintenance]]*0.25*(1-'General Info'!$E$23)</f>
        <v>18.75</v>
      </c>
      <c r="AE34" s="44">
        <f>IF(OR(Table1[[#This Row],[Fuel Type]]="Petrol", Table1[[#This Row],[Fuel Type]]="Diesel"),
   Table1[[#This Row],[Monthly KM reduced (25%)]] * (Table1[[#This Row],[Fuel cons. (l/100km)]] / 100),
   "")</f>
        <v>62.5</v>
      </c>
      <c r="AF34" s="44" t="str">
        <f>IF(Table1[[#This Row],[Fuel Type]]="Electric",
   Table1[[#This Row],[Monthly KM reduced (25%)]] * (Table1[[#This Row],[Electric cons. (kWh/100km)]] / 100),
   "")</f>
        <v/>
      </c>
      <c r="AG34" s="44">
        <f>IF(Table1[[#This Row],[Fuel Type]]="Petrol",
   Table1[[#This Row],[Fuel Saved (25%)]] * 'General Info'!$E$14,
IF(Table1[[#This Row],[Fuel Type]]="Diesel",
   Table1[[#This Row],[Fuel Saved (25%)]] * 'General Info'!$E$13,
IF(Table1[[#This Row],[Fuel Type]]="Electric",
   Table1[[#This Row],[Energy Saved (25%)]] * 'General Info'!$E$15,
"")))</f>
        <v>167.5</v>
      </c>
      <c r="AH34" s="44">
        <f>IF(D34="Owned",('ROI &amp; Scenario Analysis'!$D$4*Table1[[#This Row],[Number of vehicles]])*Table1[[#This Row],[Monthly depreciation]],"")</f>
        <v>218.75</v>
      </c>
      <c r="AI34" s="44" t="str">
        <f>IF(D34="Rented",('ROI &amp; Scenario Analysis'!$D$4*Table1[[#This Row],[Number of vehicles]])*Table1[[#This Row],[Monthly Lease/Rent ]],"")</f>
        <v/>
      </c>
      <c r="AJ34" s="44">
        <f>'ROI &amp; Scenario Analysis'!$D$4*Table1[[#This Row],[Monthly Insurance ]]</f>
        <v>14.25</v>
      </c>
      <c r="AK34" s="45">
        <f>(Table1[[#This Row],[Number of vehicles]] * Table1[[#This Row],[Avg monthly KM per vehicle]] *0.5)*(1-'General Info'!$E$23)</f>
        <v>1250</v>
      </c>
      <c r="AL34" s="44">
        <f>IF(Table1[[#This Row],[Fuel Type]]="Electric",
    (Table1[[#This Row],[Monthly KM reduced (50%)]] * (Table1[[#This Row],[Electric cons. (kWh/100km)]] / 100)) * 'General Info'!$E$12,
    (Table1[[#This Row],[Monthly KM reduced (50%)]] * (Table1[[#This Row],[Fuel cons. (l/100km)]] / 100)) *
      IF(Table1[[#This Row],[Fuel Type]]="Petrol", 'General Info'!$E$10, 'General Info'!$E$11)
)</f>
        <v>187.5</v>
      </c>
      <c r="AM34" s="44">
        <f>Table1[[#This Row],[Avg monthly maintenance]]*0.5*(1-'General Info'!$E$23)</f>
        <v>37.5</v>
      </c>
      <c r="AN34" s="44">
        <f>IF(OR(Table1[[#This Row],[Fuel Type]]="Petrol", Table1[[#This Row],[Fuel Type]]="Diesel"),
   Table1[[#This Row],[Monthly KM reduced (50%)]] * (Table1[[#This Row],[Fuel cons. (l/100km)]] / 100),
   "")</f>
        <v>125</v>
      </c>
      <c r="AO34" s="44" t="str">
        <f>IF(Table1[[#This Row],[Fuel Type]]="Electric",
   Table1[[#This Row],[Monthly KM reduced (50%)]] * (Table1[[#This Row],[Electric cons. (kWh/100km)]] / 100),
   "")</f>
        <v/>
      </c>
      <c r="AP34" s="44">
        <f>IF(Table1[[#This Row],[Fuel Type]]="Petrol",
   Table1[[#This Row],[Fuel Saved (50%)]] * 'General Info'!$E$14,
IF(Table1[[#This Row],[Fuel Type]]="Diesel",
   Table1[[#This Row],[Fuel Saved (50%)]] * 'General Info'!$E$13,
IF(Table1[[#This Row],[Fuel Type]]="Electric",
   Table1[[#This Row],[Energy Saved (50%)]] * 'General Info'!$E$15,
"")))</f>
        <v>335</v>
      </c>
      <c r="AQ34" s="44">
        <f>IF(D34="Owned",('ROI &amp; Scenario Analysis'!$E$4*Table1[[#This Row],[Number of vehicles]])*Table1[[#This Row],[Monthly depreciation]],"")</f>
        <v>437.5</v>
      </c>
      <c r="AR34" s="44" t="str">
        <f>IF(D34="Rented",('ROI &amp; Scenario Analysis'!$E$4*Table1[[#This Row],[Number of vehicles]])*Table1[[#This Row],[Monthly Lease/Rent ]],"")</f>
        <v/>
      </c>
      <c r="AS34" s="44">
        <f>'ROI &amp; Scenario Analysis'!$E$4*Table1[[#This Row],[Monthly Insurance ]]</f>
        <v>28.5</v>
      </c>
      <c r="AT34">
        <f>Table1[[#This Row],[Number of vehicles]] * Table1[[#This Row],[Avg monthly KM per vehicle]] * ('General Info'!$E$22) * (1 - 'General Info'!$E$23)</f>
        <v>500</v>
      </c>
      <c r="AU34">
        <f>IF(OR(Table1[[#This Row],[Fuel Type]]="Petrol", Table1[[#This Row],[Fuel Type]]="Diesel"),
   Table1[ [#This Row],[Monthly KM Reduced (User %)] ] * (Table1[[#This Row],[Fuel cons. (l/100km)]] / 100),
   "")</f>
        <v>50</v>
      </c>
      <c r="AV34" t="str">
        <f>IF(Table1[[#This Row],[Fuel Type]]="Electric",
   Table1[ [#This Row],[Monthly KM Reduced (User %)] ] * (Table1[[#This Row],[Electric cons. (kWh/100km)]] / 100),
   "")</f>
        <v/>
      </c>
      <c r="AW34">
        <f>IF(Table1[[#This Row],[Fuel Type]]="Petrol",
   Table1[[#This Row],[Fuel Saved (User %)]] * 'General Info'!$E$10,
IF(Table1[[#This Row],[Fuel Type]]="Diesel",
   Table1[[#This Row],[Fuel Saved (User %)]] * 'General Info'!$E$11,
IF(Table1[[#This Row],[Fuel Type]]="Electric",
   Table1[[#This Row],[Energy Saved (User %)]] * 'General Info'!$E$12,
"")))</f>
        <v>75</v>
      </c>
      <c r="AX34">
        <f>IF(Table1[[#This Row],[Fuel Type]]="Petrol",
   Table1[[#This Row],[Fuel Saved (User %)]] * 'General Info'!$E$14,
IF(Table1[[#This Row],[Fuel Type]]="Diesel",
   Table1[[#This Row],[Fuel Saved (User %)]] * 'General Info'!$E$13,
IF(Table1[[#This Row],[Fuel Type]]="Electric",
   Table1[[#This Row],[Energy Saved (User %)]] * 'General Info'!$E$15,
"")))</f>
        <v>134</v>
      </c>
      <c r="AY34" s="4">
        <f>Table1[[#This Row],[Avg monthly maintenance]]*'General Info'!$E$22*(1-'General Info'!$E$23)</f>
        <v>15</v>
      </c>
      <c r="AZ34">
        <f>IF(D34="Owned",('ROI &amp; Scenario Analysis'!$B$4*Table1[[#This Row],[Number of vehicles]])*Table1[[#This Row],[Monthly depreciation]],"")</f>
        <v>175</v>
      </c>
      <c r="BA34" t="str">
        <f>IF(D34="Rented",('ROI &amp; Scenario Analysis'!$B$4*Table1[[#This Row],[Number of vehicles]])*Table1[[#This Row],[Monthly Lease/Rent ]],"")</f>
        <v/>
      </c>
      <c r="BB34">
        <f>'ROI &amp; Scenario Analysis'!$B$4*Table1[[#This Row],[Monthly Insurance ]]</f>
        <v>11.4</v>
      </c>
    </row>
    <row r="35" spans="2:54" x14ac:dyDescent="0.3">
      <c r="B35" s="55" t="s">
        <v>88</v>
      </c>
      <c r="C35" s="55" t="s">
        <v>95</v>
      </c>
      <c r="D35" s="55" t="s">
        <v>93</v>
      </c>
      <c r="E35" s="55">
        <v>6</v>
      </c>
      <c r="F35" s="55">
        <v>800</v>
      </c>
      <c r="G35" s="55"/>
      <c r="H35" s="55">
        <v>17</v>
      </c>
      <c r="I35" s="55"/>
      <c r="J35" s="55">
        <v>60</v>
      </c>
      <c r="K35" s="55">
        <v>100</v>
      </c>
      <c r="L35" s="55">
        <v>28000</v>
      </c>
      <c r="M35" s="55">
        <v>2022</v>
      </c>
      <c r="N35" s="55">
        <v>10</v>
      </c>
      <c r="O35" s="55">
        <v>5000</v>
      </c>
      <c r="P35" s="44">
        <f t="shared" si="0"/>
        <v>191.66666666666666</v>
      </c>
      <c r="Q35"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34</v>
      </c>
      <c r="R35"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385.66666666666663</v>
      </c>
      <c r="S35" s="45">
        <f>(Table1[[#This Row],[Number of vehicles]] * Table1[[#This Row],[Avg monthly KM per vehicle]] *0.1)*(1-'General Info'!$E$23)</f>
        <v>240</v>
      </c>
      <c r="T35" s="44">
        <f>IF(Table1[[#This Row],[Fuel Type]]="Electric",
    (Table1[[#This Row],[Monthly KM reduced (10%)]] * (Table1[[#This Row],[Electric cons. (kWh/100km)]] / 100)) * 'General Info'!$E$12,
    (Table1[[#This Row],[Monthly KM reduced (10%)]] * (Table1[[#This Row],[Fuel cons. (l/100km)]] / 100)) *
      IF(Table1[[#This Row],[Fuel Type]]="Petrol", 'General Info'!$E$10, 'General Info'!$E$11)
)</f>
        <v>10.200000000000001</v>
      </c>
      <c r="U35" s="44">
        <f>Table1[[#This Row],[Avg monthly maintenance]]*0.1*(1-'General Info'!$E$23)</f>
        <v>5</v>
      </c>
      <c r="V35" s="44" t="str">
        <f>IF(OR(Table1[[#This Row],[Fuel Type]]="Petrol", Table1[[#This Row],[Fuel Type]]="Diesel"),
   Table1[[#This Row],[Monthly KM reduced (10%)]] * (Table1[[#This Row],[Fuel cons. (l/100km)]] / 100),
   "")</f>
        <v/>
      </c>
      <c r="W35" s="44">
        <f>IF(Table1[[#This Row],[Fuel Type]]="Electric",
   Table1[[#This Row],[Monthly KM reduced (10%)]] * (Table1[[#This Row],[Electric cons. (kWh/100km)]] / 100),
   "")</f>
        <v>40.800000000000004</v>
      </c>
      <c r="X35" s="44">
        <f>IF(Table1[[#This Row],[Fuel Type]]="Petrol",
   Table1[[#This Row],[Fuel saved (10%)]] * 'General Info'!$E$14,
IF(Table1[[#This Row],[Fuel Type]]="Diesel",
   Table1[[#This Row],[Fuel saved (10%)]] * 'General Info'!$E$13,
IF(Table1[[#This Row],[Fuel Type]]="Electric",
   Table1[[#This Row],[Energy saved (10%)]] * 'General Info'!$E$15,
"")))</f>
        <v>19.380000000000003</v>
      </c>
      <c r="Y35" s="44">
        <f>IF(D35="Owned",('ROI &amp; Scenario Analysis'!$C$4*Table1[[#This Row],[Number of vehicles]])*Table1[[#This Row],[Monthly depreciation]],"")</f>
        <v>69</v>
      </c>
      <c r="Z35" s="44" t="str">
        <f>IF(D35="Rented",('ROI &amp; Scenario Analysis'!$C$4*Table1[[#This Row],[Number of vehicles]])*Table1[[#This Row],[Monthly Lease/Rent ]],"")</f>
        <v/>
      </c>
      <c r="AA35" s="44">
        <f>'ROI &amp; Scenario Analysis'!$C$4*Table1[[#This Row],[Monthly Insurance ]]</f>
        <v>3.5999999999999996</v>
      </c>
      <c r="AB35" s="45">
        <f>(Table1[[#This Row],[Number of vehicles]] * Table1[[#This Row],[Avg monthly KM per vehicle]] *0.25)*(1-'General Info'!$E$23)</f>
        <v>600</v>
      </c>
      <c r="AC35" s="44">
        <f>IF(Table1[[#This Row],[Fuel Type]]="Electric",
    (Table1[[#This Row],[Monthly KM reduced (25%)]] * (Table1[[#This Row],[Electric cons. (kWh/100km)]] / 100)) * 'General Info'!$E$12,
    (Table1[[#This Row],[Monthly KM reduced (25%)]] * (Table1[[#This Row],[Fuel cons. (l/100km)]] / 100)) *
      IF(Table1[[#This Row],[Fuel Type]]="Petrol", 'General Info'!$E$10, 'General Info'!$E$11)
)</f>
        <v>25.500000000000004</v>
      </c>
      <c r="AD35" s="44">
        <f>Table1[[#This Row],[Avg monthly maintenance]]*0.25*(1-'General Info'!$E$23)</f>
        <v>12.5</v>
      </c>
      <c r="AE35" s="44" t="str">
        <f>IF(OR(Table1[[#This Row],[Fuel Type]]="Petrol", Table1[[#This Row],[Fuel Type]]="Diesel"),
   Table1[[#This Row],[Monthly KM reduced (25%)]] * (Table1[[#This Row],[Fuel cons. (l/100km)]] / 100),
   "")</f>
        <v/>
      </c>
      <c r="AF35" s="44">
        <f>IF(Table1[[#This Row],[Fuel Type]]="Electric",
   Table1[[#This Row],[Monthly KM reduced (25%)]] * (Table1[[#This Row],[Electric cons. (kWh/100km)]] / 100),
   "")</f>
        <v>102.00000000000001</v>
      </c>
      <c r="AG35" s="44">
        <f>IF(Table1[[#This Row],[Fuel Type]]="Petrol",
   Table1[[#This Row],[Fuel Saved (25%)]] * 'General Info'!$E$14,
IF(Table1[[#This Row],[Fuel Type]]="Diesel",
   Table1[[#This Row],[Fuel Saved (25%)]] * 'General Info'!$E$13,
IF(Table1[[#This Row],[Fuel Type]]="Electric",
   Table1[[#This Row],[Energy Saved (25%)]] * 'General Info'!$E$15,
"")))</f>
        <v>48.45</v>
      </c>
      <c r="AH35" s="44">
        <f>IF(D35="Owned",('ROI &amp; Scenario Analysis'!$D$4*Table1[[#This Row],[Number of vehicles]])*Table1[[#This Row],[Monthly depreciation]],"")</f>
        <v>172.49999999999997</v>
      </c>
      <c r="AI35" s="44" t="str">
        <f>IF(D35="Rented",('ROI &amp; Scenario Analysis'!$D$4*Table1[[#This Row],[Number of vehicles]])*Table1[[#This Row],[Monthly Lease/Rent ]],"")</f>
        <v/>
      </c>
      <c r="AJ35" s="44">
        <f>'ROI &amp; Scenario Analysis'!$D$4*Table1[[#This Row],[Monthly Insurance ]]</f>
        <v>9</v>
      </c>
      <c r="AK35" s="45">
        <f>(Table1[[#This Row],[Number of vehicles]] * Table1[[#This Row],[Avg monthly KM per vehicle]] *0.5)*(1-'General Info'!$E$23)</f>
        <v>1200</v>
      </c>
      <c r="AL35" s="44">
        <f>IF(Table1[[#This Row],[Fuel Type]]="Electric",
    (Table1[[#This Row],[Monthly KM reduced (50%)]] * (Table1[[#This Row],[Electric cons. (kWh/100km)]] / 100)) * 'General Info'!$E$12,
    (Table1[[#This Row],[Monthly KM reduced (50%)]] * (Table1[[#This Row],[Fuel cons. (l/100km)]] / 100)) *
      IF(Table1[[#This Row],[Fuel Type]]="Petrol", 'General Info'!$E$10, 'General Info'!$E$11)
)</f>
        <v>51.000000000000007</v>
      </c>
      <c r="AM35" s="44">
        <f>Table1[[#This Row],[Avg monthly maintenance]]*0.5*(1-'General Info'!$E$23)</f>
        <v>25</v>
      </c>
      <c r="AN35" s="44" t="str">
        <f>IF(OR(Table1[[#This Row],[Fuel Type]]="Petrol", Table1[[#This Row],[Fuel Type]]="Diesel"),
   Table1[[#This Row],[Monthly KM reduced (50%)]] * (Table1[[#This Row],[Fuel cons. (l/100km)]] / 100),
   "")</f>
        <v/>
      </c>
      <c r="AO35" s="44">
        <f>IF(Table1[[#This Row],[Fuel Type]]="Electric",
   Table1[[#This Row],[Monthly KM reduced (50%)]] * (Table1[[#This Row],[Electric cons. (kWh/100km)]] / 100),
   "")</f>
        <v>204.00000000000003</v>
      </c>
      <c r="AP35" s="44">
        <f>IF(Table1[[#This Row],[Fuel Type]]="Petrol",
   Table1[[#This Row],[Fuel Saved (50%)]] * 'General Info'!$E$14,
IF(Table1[[#This Row],[Fuel Type]]="Diesel",
   Table1[[#This Row],[Fuel Saved (50%)]] * 'General Info'!$E$13,
IF(Table1[[#This Row],[Fuel Type]]="Electric",
   Table1[[#This Row],[Energy Saved (50%)]] * 'General Info'!$E$15,
"")))</f>
        <v>96.9</v>
      </c>
      <c r="AQ35" s="44">
        <f>IF(D35="Owned",('ROI &amp; Scenario Analysis'!$E$4*Table1[[#This Row],[Number of vehicles]])*Table1[[#This Row],[Monthly depreciation]],"")</f>
        <v>344.99999999999994</v>
      </c>
      <c r="AR35" s="44" t="str">
        <f>IF(D35="Rented",('ROI &amp; Scenario Analysis'!$E$4*Table1[[#This Row],[Number of vehicles]])*Table1[[#This Row],[Monthly Lease/Rent ]],"")</f>
        <v/>
      </c>
      <c r="AS35" s="44">
        <f>'ROI &amp; Scenario Analysis'!$E$4*Table1[[#This Row],[Monthly Insurance ]]</f>
        <v>18</v>
      </c>
      <c r="AT35">
        <f>Table1[[#This Row],[Number of vehicles]] * Table1[[#This Row],[Avg monthly KM per vehicle]] * ('General Info'!$E$22) * (1 - 'General Info'!$E$23)</f>
        <v>480</v>
      </c>
      <c r="AU35" t="str">
        <f>IF(OR(Table1[[#This Row],[Fuel Type]]="Petrol", Table1[[#This Row],[Fuel Type]]="Diesel"),
   Table1[ [#This Row],[Monthly KM Reduced (User %)] ] * (Table1[[#This Row],[Fuel cons. (l/100km)]] / 100),
   "")</f>
        <v/>
      </c>
      <c r="AV35">
        <f>IF(Table1[[#This Row],[Fuel Type]]="Electric",
   Table1[ [#This Row],[Monthly KM Reduced (User %)] ] * (Table1[[#This Row],[Electric cons. (kWh/100km)]] / 100),
   "")</f>
        <v>81.600000000000009</v>
      </c>
      <c r="AW35">
        <f>IF(Table1[[#This Row],[Fuel Type]]="Petrol",
   Table1[[#This Row],[Fuel Saved (User %)]] * 'General Info'!$E$10,
IF(Table1[[#This Row],[Fuel Type]]="Diesel",
   Table1[[#This Row],[Fuel Saved (User %)]] * 'General Info'!$E$11,
IF(Table1[[#This Row],[Fuel Type]]="Electric",
   Table1[[#This Row],[Energy Saved (User %)]] * 'General Info'!$E$12,
"")))</f>
        <v>20.400000000000002</v>
      </c>
      <c r="AX35">
        <f>IF(Table1[[#This Row],[Fuel Type]]="Petrol",
   Table1[[#This Row],[Fuel Saved (User %)]] * 'General Info'!$E$14,
IF(Table1[[#This Row],[Fuel Type]]="Diesel",
   Table1[[#This Row],[Fuel Saved (User %)]] * 'General Info'!$E$13,
IF(Table1[[#This Row],[Fuel Type]]="Electric",
   Table1[[#This Row],[Energy Saved (User %)]] * 'General Info'!$E$15,
"")))</f>
        <v>38.760000000000005</v>
      </c>
      <c r="AY35" s="4">
        <f>Table1[[#This Row],[Avg monthly maintenance]]*'General Info'!$E$22*(1-'General Info'!$E$23)</f>
        <v>10</v>
      </c>
      <c r="AZ35">
        <f>IF(D35="Owned",('ROI &amp; Scenario Analysis'!$B$4*Table1[[#This Row],[Number of vehicles]])*Table1[[#This Row],[Monthly depreciation]],"")</f>
        <v>138</v>
      </c>
      <c r="BA35" t="str">
        <f>IF(D35="Rented",('ROI &amp; Scenario Analysis'!$B$4*Table1[[#This Row],[Number of vehicles]])*Table1[[#This Row],[Monthly Lease/Rent ]],"")</f>
        <v/>
      </c>
      <c r="BB35">
        <f>'ROI &amp; Scenario Analysis'!$B$4*Table1[[#This Row],[Monthly Insurance ]]</f>
        <v>7.1999999999999993</v>
      </c>
    </row>
    <row r="36" spans="2:54" x14ac:dyDescent="0.3">
      <c r="B36" s="55" t="s">
        <v>91</v>
      </c>
      <c r="C36" s="55" t="s">
        <v>89</v>
      </c>
      <c r="D36" s="55" t="s">
        <v>90</v>
      </c>
      <c r="E36" s="55">
        <v>2</v>
      </c>
      <c r="F36" s="55">
        <v>1600</v>
      </c>
      <c r="G36" s="55">
        <v>10</v>
      </c>
      <c r="H36" s="55"/>
      <c r="I36" s="55">
        <v>300</v>
      </c>
      <c r="J36" s="55">
        <v>85</v>
      </c>
      <c r="K36" s="55">
        <v>135</v>
      </c>
      <c r="L36" s="55"/>
      <c r="M36" s="55"/>
      <c r="N36" s="55"/>
      <c r="O36" s="55"/>
      <c r="P36" s="44" t="str">
        <f t="shared" si="0"/>
        <v/>
      </c>
      <c r="Q36" s="44">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296</v>
      </c>
      <c r="R36" s="44">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816</v>
      </c>
      <c r="S36" s="45">
        <f>(Table1[[#This Row],[Number of vehicles]] * Table1[[#This Row],[Avg monthly KM per vehicle]] *0.1)*(1-'General Info'!$E$23)</f>
        <v>160</v>
      </c>
      <c r="T36" s="44">
        <f>IF(Table1[[#This Row],[Fuel Type]]="Electric",
    (Table1[[#This Row],[Monthly KM reduced (10%)]] * (Table1[[#This Row],[Electric cons. (kWh/100km)]] / 100)) * 'General Info'!$E$12,
    (Table1[[#This Row],[Monthly KM reduced (10%)]] * (Table1[[#This Row],[Fuel cons. (l/100km)]] / 100)) *
      IF(Table1[[#This Row],[Fuel Type]]="Petrol", 'General Info'!$E$10, 'General Info'!$E$11)
)</f>
        <v>29.6</v>
      </c>
      <c r="U36" s="44">
        <f>Table1[[#This Row],[Avg monthly maintenance]]*0.1*(1-'General Info'!$E$23)</f>
        <v>6.75</v>
      </c>
      <c r="V36" s="44">
        <f>IF(OR(Table1[[#This Row],[Fuel Type]]="Petrol", Table1[[#This Row],[Fuel Type]]="Diesel"),
   Table1[[#This Row],[Monthly KM reduced (10%)]] * (Table1[[#This Row],[Fuel cons. (l/100km)]] / 100),
   "")</f>
        <v>16</v>
      </c>
      <c r="W36" s="44" t="str">
        <f>IF(Table1[[#This Row],[Fuel Type]]="Electric",
   Table1[[#This Row],[Monthly KM reduced (10%)]] * (Table1[[#This Row],[Electric cons. (kWh/100km)]] / 100),
   "")</f>
        <v/>
      </c>
      <c r="X36" s="44">
        <f>IF(Table1[[#This Row],[Fuel Type]]="Petrol",
   Table1[[#This Row],[Fuel saved (10%)]] * 'General Info'!$E$14,
IF(Table1[[#This Row],[Fuel Type]]="Diesel",
   Table1[[#This Row],[Fuel saved (10%)]] * 'General Info'!$E$13,
IF(Table1[[#This Row],[Fuel Type]]="Electric",
   Table1[[#This Row],[Energy saved (10%)]] * 'General Info'!$E$15,
"")))</f>
        <v>36.96</v>
      </c>
      <c r="Y36" s="44" t="str">
        <f>IF(D36="Owned",('ROI &amp; Scenario Analysis'!$C$4*Table1[[#This Row],[Number of vehicles]])*Table1[[#This Row],[Monthly depreciation]],"")</f>
        <v/>
      </c>
      <c r="Z36" s="44">
        <f>IF(D36="Rented",('ROI &amp; Scenario Analysis'!$C$4*Table1[[#This Row],[Number of vehicles]])*Table1[[#This Row],[Monthly Lease/Rent ]],"")</f>
        <v>36</v>
      </c>
      <c r="AA36" s="44">
        <f>'ROI &amp; Scenario Analysis'!$C$4*Table1[[#This Row],[Monthly Insurance ]]</f>
        <v>5.0999999999999996</v>
      </c>
      <c r="AB36" s="45">
        <f>(Table1[[#This Row],[Number of vehicles]] * Table1[[#This Row],[Avg monthly KM per vehicle]] *0.25)*(1-'General Info'!$E$23)</f>
        <v>400</v>
      </c>
      <c r="AC36" s="44">
        <f>IF(Table1[[#This Row],[Fuel Type]]="Electric",
    (Table1[[#This Row],[Monthly KM reduced (25%)]] * (Table1[[#This Row],[Electric cons. (kWh/100km)]] / 100)) * 'General Info'!$E$12,
    (Table1[[#This Row],[Monthly KM reduced (25%)]] * (Table1[[#This Row],[Fuel cons. (l/100km)]] / 100)) *
      IF(Table1[[#This Row],[Fuel Type]]="Petrol", 'General Info'!$E$10, 'General Info'!$E$11)
)</f>
        <v>74</v>
      </c>
      <c r="AD36" s="44">
        <f>Table1[[#This Row],[Avg monthly maintenance]]*0.25*(1-'General Info'!$E$23)</f>
        <v>16.875</v>
      </c>
      <c r="AE36" s="44">
        <f>IF(OR(Table1[[#This Row],[Fuel Type]]="Petrol", Table1[[#This Row],[Fuel Type]]="Diesel"),
   Table1[[#This Row],[Monthly KM reduced (25%)]] * (Table1[[#This Row],[Fuel cons. (l/100km)]] / 100),
   "")</f>
        <v>40</v>
      </c>
      <c r="AF36" s="44" t="str">
        <f>IF(Table1[[#This Row],[Fuel Type]]="Electric",
   Table1[[#This Row],[Monthly KM reduced (25%)]] * (Table1[[#This Row],[Electric cons. (kWh/100km)]] / 100),
   "")</f>
        <v/>
      </c>
      <c r="AG36" s="44">
        <f>IF(Table1[[#This Row],[Fuel Type]]="Petrol",
   Table1[[#This Row],[Fuel Saved (25%)]] * 'General Info'!$E$14,
IF(Table1[[#This Row],[Fuel Type]]="Diesel",
   Table1[[#This Row],[Fuel Saved (25%)]] * 'General Info'!$E$13,
IF(Table1[[#This Row],[Fuel Type]]="Electric",
   Table1[[#This Row],[Energy Saved (25%)]] * 'General Info'!$E$15,
"")))</f>
        <v>92.4</v>
      </c>
      <c r="AH36" s="44" t="str">
        <f>IF(D36="Owned",('ROI &amp; Scenario Analysis'!$D$4*Table1[[#This Row],[Number of vehicles]])*Table1[[#This Row],[Monthly depreciation]],"")</f>
        <v/>
      </c>
      <c r="AI36" s="44">
        <f>IF(D36="Rented",('ROI &amp; Scenario Analysis'!$D$4*Table1[[#This Row],[Number of vehicles]])*Table1[[#This Row],[Monthly Lease/Rent ]],"")</f>
        <v>90</v>
      </c>
      <c r="AJ36" s="44">
        <f>'ROI &amp; Scenario Analysis'!$D$4*Table1[[#This Row],[Monthly Insurance ]]</f>
        <v>12.75</v>
      </c>
      <c r="AK36" s="45">
        <f>(Table1[[#This Row],[Number of vehicles]] * Table1[[#This Row],[Avg monthly KM per vehicle]] *0.5)*(1-'General Info'!$E$23)</f>
        <v>800</v>
      </c>
      <c r="AL36" s="44">
        <f>IF(Table1[[#This Row],[Fuel Type]]="Electric",
    (Table1[[#This Row],[Monthly KM reduced (50%)]] * (Table1[[#This Row],[Electric cons. (kWh/100km)]] / 100)) * 'General Info'!$E$12,
    (Table1[[#This Row],[Monthly KM reduced (50%)]] * (Table1[[#This Row],[Fuel cons. (l/100km)]] / 100)) *
      IF(Table1[[#This Row],[Fuel Type]]="Petrol", 'General Info'!$E$10, 'General Info'!$E$11)
)</f>
        <v>148</v>
      </c>
      <c r="AM36" s="44">
        <f>Table1[[#This Row],[Avg monthly maintenance]]*0.5*(1-'General Info'!$E$23)</f>
        <v>33.75</v>
      </c>
      <c r="AN36" s="44">
        <f>IF(OR(Table1[[#This Row],[Fuel Type]]="Petrol", Table1[[#This Row],[Fuel Type]]="Diesel"),
   Table1[[#This Row],[Monthly KM reduced (50%)]] * (Table1[[#This Row],[Fuel cons. (l/100km)]] / 100),
   "")</f>
        <v>80</v>
      </c>
      <c r="AO36" s="44" t="str">
        <f>IF(Table1[[#This Row],[Fuel Type]]="Electric",
   Table1[[#This Row],[Monthly KM reduced (50%)]] * (Table1[[#This Row],[Electric cons. (kWh/100km)]] / 100),
   "")</f>
        <v/>
      </c>
      <c r="AP36" s="44">
        <f>IF(Table1[[#This Row],[Fuel Type]]="Petrol",
   Table1[[#This Row],[Fuel Saved (50%)]] * 'General Info'!$E$14,
IF(Table1[[#This Row],[Fuel Type]]="Diesel",
   Table1[[#This Row],[Fuel Saved (50%)]] * 'General Info'!$E$13,
IF(Table1[[#This Row],[Fuel Type]]="Electric",
   Table1[[#This Row],[Energy Saved (50%)]] * 'General Info'!$E$15,
"")))</f>
        <v>184.8</v>
      </c>
      <c r="AQ36" s="44" t="str">
        <f>IF(D36="Owned",('ROI &amp; Scenario Analysis'!$E$4*Table1[[#This Row],[Number of vehicles]])*Table1[[#This Row],[Monthly depreciation]],"")</f>
        <v/>
      </c>
      <c r="AR36" s="44">
        <f>IF(D36="Rented",('ROI &amp; Scenario Analysis'!$E$4*Table1[[#This Row],[Number of vehicles]])*Table1[[#This Row],[Monthly Lease/Rent ]],"")</f>
        <v>180</v>
      </c>
      <c r="AS36" s="44">
        <f>'ROI &amp; Scenario Analysis'!$E$4*Table1[[#This Row],[Monthly Insurance ]]</f>
        <v>25.5</v>
      </c>
      <c r="AT36">
        <f>Table1[[#This Row],[Number of vehicles]] * Table1[[#This Row],[Avg monthly KM per vehicle]] * ('General Info'!$E$22) * (1 - 'General Info'!$E$23)</f>
        <v>320</v>
      </c>
      <c r="AU36">
        <f>IF(OR(Table1[[#This Row],[Fuel Type]]="Petrol", Table1[[#This Row],[Fuel Type]]="Diesel"),
   Table1[ [#This Row],[Monthly KM Reduced (User %)] ] * (Table1[[#This Row],[Fuel cons. (l/100km)]] / 100),
   "")</f>
        <v>32</v>
      </c>
      <c r="AV36" t="str">
        <f>IF(Table1[[#This Row],[Fuel Type]]="Electric",
   Table1[ [#This Row],[Monthly KM Reduced (User %)] ] * (Table1[[#This Row],[Electric cons. (kWh/100km)]] / 100),
   "")</f>
        <v/>
      </c>
      <c r="AW36">
        <f>IF(Table1[[#This Row],[Fuel Type]]="Petrol",
   Table1[[#This Row],[Fuel Saved (User %)]] * 'General Info'!$E$10,
IF(Table1[[#This Row],[Fuel Type]]="Diesel",
   Table1[[#This Row],[Fuel Saved (User %)]] * 'General Info'!$E$11,
IF(Table1[[#This Row],[Fuel Type]]="Electric",
   Table1[[#This Row],[Energy Saved (User %)]] * 'General Info'!$E$12,
"")))</f>
        <v>59.2</v>
      </c>
      <c r="AX36">
        <f>IF(Table1[[#This Row],[Fuel Type]]="Petrol",
   Table1[[#This Row],[Fuel Saved (User %)]] * 'General Info'!$E$14,
IF(Table1[[#This Row],[Fuel Type]]="Diesel",
   Table1[[#This Row],[Fuel Saved (User %)]] * 'General Info'!$E$13,
IF(Table1[[#This Row],[Fuel Type]]="Electric",
   Table1[[#This Row],[Energy Saved (User %)]] * 'General Info'!$E$15,
"")))</f>
        <v>73.92</v>
      </c>
      <c r="AY36" s="4">
        <f>Table1[[#This Row],[Avg monthly maintenance]]*'General Info'!$E$22*(1-'General Info'!$E$23)</f>
        <v>13.5</v>
      </c>
      <c r="AZ36" t="str">
        <f>IF(D36="Owned",('ROI &amp; Scenario Analysis'!$B$4*Table1[[#This Row],[Number of vehicles]])*Table1[[#This Row],[Monthly depreciation]],"")</f>
        <v/>
      </c>
      <c r="BA36">
        <f>IF(D36="Rented",('ROI &amp; Scenario Analysis'!$B$4*Table1[[#This Row],[Number of vehicles]])*Table1[[#This Row],[Monthly Lease/Rent ]],"")</f>
        <v>72</v>
      </c>
      <c r="BB36">
        <f>'ROI &amp; Scenario Analysis'!$B$4*Table1[[#This Row],[Monthly Insurance ]]</f>
        <v>10.199999999999999</v>
      </c>
    </row>
    <row r="37" spans="2:54" x14ac:dyDescent="0.3">
      <c r="B37" s="68" t="s">
        <v>91</v>
      </c>
      <c r="C37" s="55"/>
      <c r="D37" s="55"/>
      <c r="E37" s="55"/>
      <c r="F37" s="55"/>
      <c r="G37" s="55"/>
      <c r="H37" s="55"/>
      <c r="I37" s="69"/>
      <c r="J37" s="69"/>
      <c r="K37" s="69"/>
      <c r="L37" s="69"/>
      <c r="M37" s="55"/>
      <c r="N37" s="55"/>
      <c r="O37" s="69"/>
      <c r="P37" s="44" t="str">
        <f>IF(D37="Owned",(L37-O37)/N37/12,"")</f>
        <v/>
      </c>
      <c r="Q37" s="44" t="str">
        <f>IF(Table1[[#This Row],[Fuel Type]]="Diesel",
    (Table1[[#This Row],[Avg monthly KM per vehicle]]/100)*Table1[[#This Row],[Fuel cons. (l/100km)]]*('General Info'!$E$11),
IF(Table1[[#This Row],[Fuel Type]]="Petrol",
    (Table1[[#This Row],[Avg monthly KM per vehicle]]/100)*Table1[[#This Row],[Fuel cons. (l/100km)]]*('General Info'!$E$10),
IF(Table1[[#This Row],[Fuel Type]]="Electric",
    (Table1[[#This Row],[Avg monthly KM per vehicle]]/100)*Table1[[#This Row],[Electric cons. (kWh/100km)]]*('General Info'!$E$12),
"")))</f>
        <v/>
      </c>
      <c r="R37" s="44" t="e">
        <f>IF(Table1[[#This Row],[Ownership]]="Owned",Table1[[#This Row],[Monthly Insurance ]]+Table1[[#This Row],[Avg monthly maintenance]]+Table1[[#This Row],[Monthly depreciation]]+Table1[[#This Row],[Monthly fuel/energy cost per vehicle]],Table1[[#This Row],[Monthly Insurance ]]+Table1[[#This Row],[Avg monthly maintenance]]+Table1[[#This Row],[Monthly Lease/Rent ]]+Table1[[#This Row],[Monthly fuel/energy cost per vehicle]])</f>
        <v>#VALUE!</v>
      </c>
      <c r="S37" s="45">
        <f>(Table1[[#This Row],[Number of vehicles]] * Table1[[#This Row],[Avg monthly KM per vehicle]] *0.1)*(1-'General Info'!$E$23)</f>
        <v>0</v>
      </c>
      <c r="T37" s="44">
        <f>IF(Table1[[#This Row],[Fuel Type]]="Electric",
    (Table1[[#This Row],[Monthly KM reduced (10%)]] * (Table1[[#This Row],[Electric cons. (kWh/100km)]] / 100)) * 'General Info'!$E$12,
    (Table1[[#This Row],[Monthly KM reduced (10%)]] * (Table1[[#This Row],[Fuel cons. (l/100km)]] / 100)) *
      IF(Table1[[#This Row],[Fuel Type]]="Petrol", 'General Info'!$E$10, 'General Info'!$E$11)
)</f>
        <v>0</v>
      </c>
      <c r="U37" s="44">
        <f>Table1[[#This Row],[Avg monthly maintenance]]*0.1*(1-'General Info'!$E$23)</f>
        <v>0</v>
      </c>
      <c r="V37" s="44" t="str">
        <f>IF(OR(Table1[[#This Row],[Fuel Type]]="Petrol", Table1[[#This Row],[Fuel Type]]="Diesel"),
   Table1[[#This Row],[Monthly KM reduced (10%)]] * (Table1[[#This Row],[Fuel cons. (l/100km)]] / 100),
   "")</f>
        <v/>
      </c>
      <c r="W37" s="44" t="str">
        <f>IF(Table1[[#This Row],[Fuel Type]]="Electric",
   Table1[[#This Row],[Monthly KM reduced (10%)]] * (Table1[[#This Row],[Electric cons. (kWh/100km)]] / 100),
   "")</f>
        <v/>
      </c>
      <c r="X37" s="44" t="str">
        <f>IF(Table1[[#This Row],[Fuel Type]]="Petrol",
   Table1[[#This Row],[Fuel saved (10%)]] * 'General Info'!$E$14,
IF(Table1[[#This Row],[Fuel Type]]="Diesel",
   Table1[[#This Row],[Fuel saved (10%)]] * 'General Info'!$E$13,
IF(Table1[[#This Row],[Fuel Type]]="Electric",
   Table1[[#This Row],[Energy saved (10%)]] * 'General Info'!$E$15,
"")))</f>
        <v/>
      </c>
      <c r="Y37" s="44" t="str">
        <f>IF(D37="Owned",('ROI &amp; Scenario Analysis'!$C$4*Table1[[#This Row],[Number of vehicles]])*Table1[[#This Row],[Monthly depreciation]],"")</f>
        <v/>
      </c>
      <c r="Z37" s="44" t="str">
        <f>IF(D37="Rented",('ROI &amp; Scenario Analysis'!$C$4*Table1[[#This Row],[Number of vehicles]])*Table1[[#This Row],[Monthly Lease/Rent ]],"")</f>
        <v/>
      </c>
      <c r="AA37" s="44">
        <f>'ROI &amp; Scenario Analysis'!$C$4*Table1[[#This Row],[Monthly Insurance ]]</f>
        <v>0</v>
      </c>
      <c r="AB37" s="45">
        <f>(Table1[[#This Row],[Number of vehicles]] * Table1[[#This Row],[Avg monthly KM per vehicle]] *0.25)*(1-'General Info'!$E$23)</f>
        <v>0</v>
      </c>
      <c r="AC37" s="44">
        <f>IF(Table1[[#This Row],[Fuel Type]]="Electric",
    (Table1[[#This Row],[Monthly KM reduced (25%)]] * (Table1[[#This Row],[Electric cons. (kWh/100km)]] / 100)) * 'General Info'!$E$12,
    (Table1[[#This Row],[Monthly KM reduced (25%)]] * (Table1[[#This Row],[Fuel cons. (l/100km)]] / 100)) *
      IF(Table1[[#This Row],[Fuel Type]]="Petrol", 'General Info'!$E$10, 'General Info'!$E$11)
)</f>
        <v>0</v>
      </c>
      <c r="AD37" s="44">
        <f>Table1[[#This Row],[Avg monthly maintenance]]*0.25*(1-'General Info'!$E$23)</f>
        <v>0</v>
      </c>
      <c r="AE37" s="44" t="str">
        <f>IF(OR(Table1[[#This Row],[Fuel Type]]="Petrol", Table1[[#This Row],[Fuel Type]]="Diesel"),
   Table1[[#This Row],[Monthly KM reduced (25%)]] * (Table1[[#This Row],[Fuel cons. (l/100km)]] / 100),
   "")</f>
        <v/>
      </c>
      <c r="AF37" s="44" t="str">
        <f>IF(Table1[[#This Row],[Fuel Type]]="Electric",
   Table1[[#This Row],[Monthly KM reduced (25%)]] * (Table1[[#This Row],[Electric cons. (kWh/100km)]] / 100),
   "")</f>
        <v/>
      </c>
      <c r="AG37" s="44" t="str">
        <f>IF(Table1[[#This Row],[Fuel Type]]="Petrol",
   Table1[[#This Row],[Fuel Saved (25%)]] * 'General Info'!$E$14,
IF(Table1[[#This Row],[Fuel Type]]="Diesel",
   Table1[[#This Row],[Fuel Saved (25%)]] * 'General Info'!$E$13,
IF(Table1[[#This Row],[Fuel Type]]="Electric",
   Table1[[#This Row],[Energy Saved (25%)]] * 'General Info'!$E$15,
"")))</f>
        <v/>
      </c>
      <c r="AH37" s="44" t="str">
        <f>IF(D37="Owned",('ROI &amp; Scenario Analysis'!$D$4*Table1[[#This Row],[Number of vehicles]])*Table1[[#This Row],[Monthly depreciation]],"")</f>
        <v/>
      </c>
      <c r="AI37" s="44" t="str">
        <f>IF(D37="Rented",('ROI &amp; Scenario Analysis'!$D$4*Table1[[#This Row],[Number of vehicles]])*Table1[[#This Row],[Monthly Lease/Rent ]],"")</f>
        <v/>
      </c>
      <c r="AJ37" s="44">
        <f>'ROI &amp; Scenario Analysis'!$D$4*Table1[[#This Row],[Monthly Insurance ]]</f>
        <v>0</v>
      </c>
      <c r="AK37" s="45">
        <f>(Table1[[#This Row],[Number of vehicles]] * Table1[[#This Row],[Avg monthly KM per vehicle]] *0.5)*(1-'General Info'!$E$23)</f>
        <v>0</v>
      </c>
      <c r="AL37" s="44">
        <f>IF(Table1[[#This Row],[Fuel Type]]="Electric",
    (Table1[[#This Row],[Monthly KM reduced (50%)]] * (Table1[[#This Row],[Electric cons. (kWh/100km)]] / 100)) * 'General Info'!$E$12,
    (Table1[[#This Row],[Monthly KM reduced (50%)]] * (Table1[[#This Row],[Fuel cons. (l/100km)]] / 100)) *
      IF(Table1[[#This Row],[Fuel Type]]="Petrol", 'General Info'!$E$10, 'General Info'!$E$11)
)</f>
        <v>0</v>
      </c>
      <c r="AM37" s="44">
        <f>Table1[[#This Row],[Avg monthly maintenance]]*0.5*(1-'General Info'!$E$23)</f>
        <v>0</v>
      </c>
      <c r="AN37" s="44" t="str">
        <f>IF(OR(Table1[[#This Row],[Fuel Type]]="Petrol", Table1[[#This Row],[Fuel Type]]="Diesel"),
   Table1[[#This Row],[Monthly KM reduced (50%)]] * (Table1[[#This Row],[Fuel cons. (l/100km)]] / 100),
   "")</f>
        <v/>
      </c>
      <c r="AO37" s="44" t="str">
        <f>IF(Table1[[#This Row],[Fuel Type]]="Electric",
   Table1[[#This Row],[Monthly KM reduced (50%)]] * (Table1[[#This Row],[Electric cons. (kWh/100km)]] / 100),
   "")</f>
        <v/>
      </c>
      <c r="AP37" s="44" t="str">
        <f>IF(Table1[[#This Row],[Fuel Type]]="Petrol",
   Table1[[#This Row],[Fuel Saved (50%)]] * 'General Info'!$E$14,
IF(Table1[[#This Row],[Fuel Type]]="Diesel",
   Table1[[#This Row],[Fuel Saved (50%)]] * 'General Info'!$E$13,
IF(Table1[[#This Row],[Fuel Type]]="Electric",
   Table1[[#This Row],[Energy Saved (50%)]] * 'General Info'!$E$15,
"")))</f>
        <v/>
      </c>
      <c r="AQ37" s="44" t="str">
        <f>IF(D37="Owned",('ROI &amp; Scenario Analysis'!$E$4*Table1[[#This Row],[Number of vehicles]])*Table1[[#This Row],[Monthly depreciation]],"")</f>
        <v/>
      </c>
      <c r="AR37" s="44" t="str">
        <f>IF(D37="Rented",('ROI &amp; Scenario Analysis'!$E$4*Table1[[#This Row],[Number of vehicles]])*Table1[[#This Row],[Monthly Lease/Rent ]],"")</f>
        <v/>
      </c>
      <c r="AS37" s="44">
        <f>'ROI &amp; Scenario Analysis'!$E$4*Table1[[#This Row],[Monthly Insurance ]]</f>
        <v>0</v>
      </c>
      <c r="AT37">
        <f>Table1[[#This Row],[Number of vehicles]] * Table1[[#This Row],[Avg monthly KM per vehicle]] * ('General Info'!$E$22) * (1 - 'General Info'!$E$23)</f>
        <v>0</v>
      </c>
      <c r="AU37" t="str">
        <f>IF(OR(Table1[[#This Row],[Fuel Type]]="Petrol", Table1[[#This Row],[Fuel Type]]="Diesel"),
   Table1[ [#This Row],[Monthly KM Reduced (User %)] ] * (Table1[[#This Row],[Fuel cons. (l/100km)]] / 100),
   "")</f>
        <v/>
      </c>
      <c r="AV37" t="str">
        <f>IF(Table1[[#This Row],[Fuel Type]]="Electric",
   Table1[ [#This Row],[Monthly KM Reduced (User %)] ] * (Table1[[#This Row],[Electric cons. (kWh/100km)]] / 100),
   "")</f>
        <v/>
      </c>
      <c r="AW37" t="str">
        <f>IF(Table1[[#This Row],[Fuel Type]]="Petrol",
   Table1[[#This Row],[Fuel Saved (User %)]] * 'General Info'!$E$10,
IF(Table1[[#This Row],[Fuel Type]]="Diesel",
   Table1[[#This Row],[Fuel Saved (User %)]] * 'General Info'!$E$11,
IF(Table1[[#This Row],[Fuel Type]]="Electric",
   Table1[[#This Row],[Energy Saved (User %)]] * 'General Info'!$E$12,
"")))</f>
        <v/>
      </c>
      <c r="AX37" t="str">
        <f>IF(Table1[[#This Row],[Fuel Type]]="Petrol",
   Table1[[#This Row],[Fuel Saved (User %)]] * 'General Info'!$E$14,
IF(Table1[[#This Row],[Fuel Type]]="Diesel",
   Table1[[#This Row],[Fuel Saved (User %)]] * 'General Info'!$E$13,
IF(Table1[[#This Row],[Fuel Type]]="Electric",
   Table1[[#This Row],[Energy Saved (User %)]] * 'General Info'!$E$15,
"")))</f>
        <v/>
      </c>
      <c r="AY37" s="4">
        <f>Table1[[#This Row],[Avg monthly maintenance]]*'General Info'!$E$22*(1-'General Info'!$E$23)</f>
        <v>0</v>
      </c>
      <c r="AZ37" t="str">
        <f>IF(D37="Owned",('ROI &amp; Scenario Analysis'!$B$4*Table1[[#This Row],[Number of vehicles]])*Table1[[#This Row],[Monthly depreciation]],"")</f>
        <v/>
      </c>
      <c r="BA37" t="str">
        <f>IF(D37="Rented",('ROI &amp; Scenario Analysis'!$B$4*Table1[[#This Row],[Number of vehicles]])*Table1[[#This Row],[Monthly Lease/Rent ]],"")</f>
        <v/>
      </c>
      <c r="BB37">
        <f>'ROI &amp; Scenario Analysis'!$B$4*Table1[[#This Row],[Monthly Insurance ]]</f>
        <v>0</v>
      </c>
    </row>
    <row r="38" spans="2:54" x14ac:dyDescent="0.3">
      <c r="B38" s="56"/>
      <c r="C38" s="56"/>
      <c r="D38" s="56"/>
      <c r="E38" s="56"/>
      <c r="F38" s="56"/>
      <c r="G38" s="56"/>
      <c r="H38" s="56"/>
      <c r="I38" s="56"/>
      <c r="J38" s="56"/>
      <c r="K38" s="56"/>
      <c r="L38" s="56"/>
      <c r="M38" s="56"/>
      <c r="N38" s="56"/>
      <c r="O38" s="56"/>
    </row>
    <row r="39" spans="2:54" x14ac:dyDescent="0.3">
      <c r="B39" s="56"/>
      <c r="C39" s="56"/>
      <c r="D39" s="56"/>
      <c r="E39" s="56"/>
      <c r="F39" s="56"/>
      <c r="G39" s="56"/>
      <c r="H39" s="56"/>
      <c r="I39" s="56"/>
      <c r="J39" s="56"/>
      <c r="K39" s="56"/>
      <c r="L39" s="56"/>
      <c r="M39" s="56"/>
      <c r="N39" s="56"/>
      <c r="O39" s="56"/>
    </row>
    <row r="40" spans="2:54" x14ac:dyDescent="0.3">
      <c r="B40" s="56"/>
      <c r="C40" s="56"/>
      <c r="D40" s="56"/>
      <c r="E40" s="56"/>
      <c r="F40" s="56"/>
      <c r="G40" s="56"/>
      <c r="H40" s="56"/>
      <c r="I40" s="56"/>
      <c r="J40" s="56"/>
      <c r="K40" s="56"/>
      <c r="L40" s="56"/>
      <c r="M40" s="56"/>
      <c r="N40" s="56"/>
      <c r="O40" s="56"/>
    </row>
    <row r="41" spans="2:54" x14ac:dyDescent="0.3">
      <c r="B41" s="56"/>
      <c r="C41" s="56"/>
      <c r="D41" s="56"/>
      <c r="E41" s="56"/>
      <c r="F41" s="56"/>
      <c r="G41" s="56"/>
      <c r="H41" s="56"/>
      <c r="I41" s="56"/>
      <c r="J41" s="56"/>
      <c r="K41" s="56"/>
      <c r="L41" s="56"/>
      <c r="M41" s="56"/>
      <c r="N41" s="56"/>
      <c r="O41" s="56"/>
    </row>
    <row r="42" spans="2:54" x14ac:dyDescent="0.3">
      <c r="B42" s="56"/>
      <c r="C42" s="56"/>
      <c r="D42" s="56"/>
      <c r="E42" s="56"/>
      <c r="F42" s="56"/>
      <c r="G42" s="56"/>
      <c r="H42" s="56"/>
      <c r="I42" s="56"/>
      <c r="J42" s="56"/>
      <c r="K42" s="56"/>
      <c r="L42" s="56"/>
      <c r="M42" s="56"/>
      <c r="N42" s="56"/>
      <c r="O42" s="56"/>
      <c r="AN42" s="4"/>
    </row>
    <row r="43" spans="2:54" x14ac:dyDescent="0.3">
      <c r="B43" s="56"/>
      <c r="C43" s="56"/>
      <c r="D43" s="56"/>
      <c r="E43" s="56"/>
      <c r="F43" s="56"/>
      <c r="G43" s="56"/>
      <c r="H43" s="56"/>
      <c r="I43" s="56"/>
      <c r="J43" s="56"/>
      <c r="K43" s="56"/>
      <c r="L43" s="56"/>
      <c r="M43" s="56"/>
      <c r="N43" s="56"/>
      <c r="O43" s="56"/>
    </row>
    <row r="44" spans="2:54" x14ac:dyDescent="0.3">
      <c r="B44" s="56"/>
      <c r="C44" s="56"/>
      <c r="D44" s="56"/>
      <c r="E44" s="56"/>
      <c r="F44" s="56"/>
      <c r="G44" s="56"/>
      <c r="H44" s="56"/>
      <c r="I44" s="56"/>
      <c r="J44" s="56"/>
      <c r="K44" s="56"/>
      <c r="L44" s="56"/>
      <c r="M44" s="56"/>
      <c r="N44" s="56"/>
      <c r="O44" s="56"/>
    </row>
    <row r="45" spans="2:54" x14ac:dyDescent="0.3">
      <c r="B45" s="56"/>
      <c r="C45" s="56"/>
      <c r="D45" s="56"/>
      <c r="E45" s="56"/>
      <c r="F45" s="56"/>
      <c r="G45" s="56"/>
      <c r="H45" s="56"/>
      <c r="I45" s="56"/>
      <c r="J45" s="56"/>
      <c r="K45" s="56"/>
      <c r="L45" s="56"/>
      <c r="M45" s="56"/>
      <c r="N45" s="56"/>
      <c r="O45" s="56"/>
    </row>
    <row r="46" spans="2:54" x14ac:dyDescent="0.3">
      <c r="B46" s="56"/>
      <c r="C46" s="56"/>
      <c r="D46" s="56"/>
      <c r="E46" s="56"/>
      <c r="F46" s="56"/>
      <c r="G46" s="56"/>
      <c r="H46" s="56"/>
      <c r="I46" s="56"/>
      <c r="J46" s="56"/>
      <c r="K46" s="56"/>
      <c r="L46" s="56"/>
      <c r="M46" s="56"/>
      <c r="N46" s="56"/>
      <c r="O46" s="56"/>
    </row>
    <row r="47" spans="2:54" x14ac:dyDescent="0.3">
      <c r="B47" s="56"/>
      <c r="C47" s="56"/>
      <c r="D47" s="56"/>
      <c r="E47" s="56"/>
      <c r="F47" s="56"/>
      <c r="G47" s="56"/>
      <c r="H47" s="56"/>
      <c r="I47" s="56"/>
      <c r="J47" s="56"/>
      <c r="K47" s="56"/>
      <c r="L47" s="56"/>
      <c r="M47" s="56"/>
      <c r="N47" s="56"/>
      <c r="O47" s="56"/>
    </row>
    <row r="48" spans="2:54" x14ac:dyDescent="0.3">
      <c r="B48" s="56"/>
      <c r="C48" s="56"/>
      <c r="D48" s="56"/>
      <c r="E48" s="56"/>
      <c r="F48" s="56"/>
      <c r="G48" s="56"/>
      <c r="H48" s="56"/>
      <c r="I48" s="56"/>
      <c r="J48" s="56"/>
      <c r="K48" s="56"/>
      <c r="L48" s="56"/>
      <c r="M48" s="56"/>
      <c r="N48" s="56"/>
      <c r="O48" s="56"/>
    </row>
    <row r="49" spans="2:15" x14ac:dyDescent="0.3">
      <c r="B49" s="56"/>
      <c r="C49" s="56"/>
      <c r="D49" s="56"/>
      <c r="E49" s="56"/>
      <c r="F49" s="56"/>
      <c r="G49" s="56"/>
      <c r="H49" s="56"/>
      <c r="I49" s="56"/>
      <c r="J49" s="56"/>
      <c r="K49" s="56"/>
      <c r="L49" s="56"/>
      <c r="M49" s="56"/>
      <c r="N49" s="56"/>
      <c r="O49" s="56"/>
    </row>
    <row r="50" spans="2:15" x14ac:dyDescent="0.3">
      <c r="B50" s="56"/>
      <c r="C50" s="56"/>
      <c r="D50" s="56"/>
      <c r="E50" s="56"/>
      <c r="F50" s="56"/>
      <c r="G50" s="56"/>
      <c r="H50" s="56"/>
      <c r="I50" s="56"/>
      <c r="J50" s="56"/>
      <c r="K50" s="56"/>
      <c r="L50" s="56"/>
      <c r="M50" s="56"/>
      <c r="N50" s="56"/>
      <c r="O50" s="56"/>
    </row>
    <row r="51" spans="2:15" x14ac:dyDescent="0.3">
      <c r="B51" s="56"/>
      <c r="C51" s="56"/>
      <c r="D51" s="56"/>
      <c r="E51" s="56"/>
      <c r="F51" s="56"/>
      <c r="G51" s="56"/>
      <c r="H51" s="56"/>
      <c r="I51" s="56"/>
      <c r="J51" s="56"/>
      <c r="K51" s="56"/>
      <c r="L51" s="56"/>
      <c r="M51" s="56"/>
      <c r="N51" s="56"/>
      <c r="O51" s="56"/>
    </row>
    <row r="52" spans="2:15" x14ac:dyDescent="0.3">
      <c r="B52" s="56"/>
      <c r="C52" s="56"/>
      <c r="D52" s="56"/>
      <c r="E52" s="56"/>
      <c r="F52" s="56"/>
      <c r="G52" s="56"/>
      <c r="H52" s="56"/>
      <c r="I52" s="56"/>
      <c r="J52" s="56"/>
      <c r="K52" s="56"/>
      <c r="L52" s="56"/>
      <c r="M52" s="56"/>
      <c r="N52" s="56"/>
      <c r="O52" s="56"/>
    </row>
    <row r="53" spans="2:15" x14ac:dyDescent="0.3">
      <c r="B53" s="56"/>
      <c r="C53" s="56"/>
      <c r="D53" s="56"/>
      <c r="E53" s="56"/>
      <c r="F53" s="56"/>
      <c r="G53" s="56"/>
      <c r="H53" s="56"/>
      <c r="I53" s="56"/>
      <c r="J53" s="56"/>
      <c r="K53" s="56"/>
      <c r="L53" s="56"/>
      <c r="M53" s="56"/>
      <c r="N53" s="56"/>
      <c r="O53" s="56"/>
    </row>
    <row r="54" spans="2:15" x14ac:dyDescent="0.3">
      <c r="B54" s="56"/>
      <c r="C54" s="56"/>
      <c r="D54" s="56"/>
      <c r="E54" s="56"/>
      <c r="F54" s="56"/>
      <c r="G54" s="56"/>
      <c r="H54" s="56"/>
      <c r="I54" s="56"/>
      <c r="J54" s="56"/>
      <c r="K54" s="56"/>
      <c r="L54" s="56"/>
      <c r="M54" s="56"/>
      <c r="N54" s="56"/>
      <c r="O54" s="56"/>
    </row>
    <row r="55" spans="2:15" x14ac:dyDescent="0.3">
      <c r="B55" s="56"/>
      <c r="C55" s="56"/>
      <c r="D55" s="56"/>
      <c r="E55" s="56"/>
      <c r="F55" s="56"/>
      <c r="G55" s="56"/>
      <c r="H55" s="56"/>
      <c r="I55" s="56"/>
      <c r="J55" s="56"/>
      <c r="K55" s="56"/>
      <c r="L55" s="56"/>
      <c r="M55" s="56"/>
      <c r="N55" s="56"/>
      <c r="O55" s="56"/>
    </row>
    <row r="56" spans="2:15" x14ac:dyDescent="0.3">
      <c r="B56" s="56"/>
      <c r="C56" s="56"/>
      <c r="D56" s="56"/>
      <c r="E56" s="56"/>
      <c r="F56" s="56"/>
      <c r="G56" s="56"/>
      <c r="H56" s="56"/>
      <c r="I56" s="56"/>
      <c r="J56" s="56"/>
      <c r="K56" s="56"/>
      <c r="L56" s="56"/>
      <c r="M56" s="56"/>
      <c r="N56" s="56"/>
      <c r="O56" s="56"/>
    </row>
    <row r="57" spans="2:15" x14ac:dyDescent="0.3">
      <c r="B57" s="56"/>
      <c r="C57" s="56"/>
      <c r="D57" s="56"/>
      <c r="E57" s="56"/>
      <c r="F57" s="56"/>
      <c r="G57" s="56"/>
      <c r="H57" s="56"/>
      <c r="I57" s="56"/>
      <c r="J57" s="56"/>
      <c r="K57" s="56"/>
      <c r="L57" s="56"/>
      <c r="M57" s="56"/>
      <c r="N57" s="56"/>
      <c r="O57" s="56"/>
    </row>
    <row r="58" spans="2:15" x14ac:dyDescent="0.3">
      <c r="B58" s="56"/>
      <c r="C58" s="56"/>
      <c r="D58" s="56"/>
      <c r="E58" s="56"/>
      <c r="F58" s="56"/>
      <c r="G58" s="56"/>
      <c r="H58" s="56"/>
      <c r="I58" s="56"/>
      <c r="J58" s="56"/>
      <c r="K58" s="56"/>
      <c r="L58" s="56"/>
      <c r="M58" s="56"/>
      <c r="N58" s="56"/>
      <c r="O58" s="56"/>
    </row>
    <row r="59" spans="2:15" x14ac:dyDescent="0.3">
      <c r="B59" s="56"/>
      <c r="C59" s="56"/>
      <c r="D59" s="56"/>
      <c r="E59" s="56"/>
      <c r="F59" s="56"/>
      <c r="G59" s="56"/>
      <c r="H59" s="56"/>
      <c r="I59" s="56"/>
      <c r="J59" s="56"/>
      <c r="K59" s="56"/>
      <c r="L59" s="56"/>
      <c r="M59" s="56"/>
      <c r="N59" s="56"/>
      <c r="O59" s="56"/>
    </row>
    <row r="60" spans="2:15" x14ac:dyDescent="0.3">
      <c r="B60" s="56"/>
      <c r="C60" s="56"/>
      <c r="D60" s="56"/>
      <c r="E60" s="56"/>
      <c r="F60" s="56"/>
      <c r="G60" s="56"/>
      <c r="H60" s="56"/>
      <c r="I60" s="56"/>
      <c r="J60" s="56"/>
      <c r="K60" s="56"/>
      <c r="L60" s="56"/>
      <c r="M60" s="56"/>
      <c r="N60" s="56"/>
      <c r="O60" s="56"/>
    </row>
    <row r="61" spans="2:15" x14ac:dyDescent="0.3">
      <c r="B61" s="56"/>
      <c r="C61" s="56"/>
      <c r="D61" s="56"/>
      <c r="E61" s="56"/>
      <c r="F61" s="56"/>
      <c r="G61" s="56"/>
      <c r="H61" s="56"/>
      <c r="I61" s="56"/>
      <c r="J61" s="56"/>
      <c r="K61" s="56"/>
      <c r="L61" s="56"/>
      <c r="M61" s="56"/>
      <c r="N61" s="56"/>
      <c r="O61" s="56"/>
    </row>
    <row r="62" spans="2:15" x14ac:dyDescent="0.3">
      <c r="B62" s="56"/>
      <c r="C62" s="56"/>
      <c r="D62" s="56"/>
      <c r="E62" s="56"/>
      <c r="F62" s="56"/>
      <c r="G62" s="56"/>
      <c r="H62" s="56"/>
      <c r="I62" s="56"/>
      <c r="J62" s="56"/>
      <c r="K62" s="56"/>
      <c r="L62" s="56"/>
      <c r="M62" s="56"/>
      <c r="N62" s="56"/>
      <c r="O62" s="56"/>
    </row>
    <row r="63" spans="2:15" x14ac:dyDescent="0.3">
      <c r="B63" s="56"/>
      <c r="C63" s="56"/>
      <c r="D63" s="56"/>
      <c r="E63" s="56"/>
      <c r="F63" s="56"/>
      <c r="G63" s="56"/>
      <c r="H63" s="56"/>
      <c r="I63" s="56"/>
      <c r="J63" s="56"/>
      <c r="K63" s="56"/>
      <c r="L63" s="56"/>
      <c r="M63" s="56"/>
      <c r="N63" s="56"/>
      <c r="O63" s="56"/>
    </row>
    <row r="64" spans="2:15" x14ac:dyDescent="0.3">
      <c r="B64" s="56"/>
      <c r="C64" s="56"/>
      <c r="D64" s="56"/>
      <c r="E64" s="56"/>
      <c r="F64" s="56"/>
      <c r="G64" s="56"/>
      <c r="H64" s="56"/>
      <c r="I64" s="56"/>
      <c r="J64" s="56"/>
      <c r="K64" s="56"/>
      <c r="L64" s="56"/>
      <c r="M64" s="56"/>
      <c r="N64" s="56"/>
      <c r="O64" s="56"/>
    </row>
    <row r="65" spans="2:15" x14ac:dyDescent="0.3">
      <c r="B65" s="56"/>
      <c r="C65" s="56"/>
      <c r="D65" s="56"/>
      <c r="E65" s="56"/>
      <c r="F65" s="56"/>
      <c r="G65" s="56"/>
      <c r="H65" s="56"/>
      <c r="I65" s="56"/>
      <c r="J65" s="56"/>
      <c r="K65" s="56"/>
      <c r="L65" s="56"/>
      <c r="M65" s="56"/>
      <c r="N65" s="56"/>
      <c r="O65" s="56"/>
    </row>
    <row r="66" spans="2:15" x14ac:dyDescent="0.3">
      <c r="B66" s="56"/>
      <c r="C66" s="56"/>
      <c r="D66" s="56"/>
      <c r="E66" s="56"/>
      <c r="F66" s="56"/>
      <c r="G66" s="56"/>
      <c r="H66" s="56"/>
      <c r="I66" s="56"/>
      <c r="J66" s="56"/>
      <c r="K66" s="56"/>
      <c r="L66" s="56"/>
      <c r="M66" s="56"/>
      <c r="N66" s="56"/>
      <c r="O66" s="56"/>
    </row>
    <row r="67" spans="2:15" x14ac:dyDescent="0.3">
      <c r="B67" s="56"/>
      <c r="C67" s="56"/>
      <c r="D67" s="56"/>
      <c r="E67" s="56"/>
      <c r="F67" s="56"/>
      <c r="G67" s="56"/>
      <c r="H67" s="56"/>
      <c r="I67" s="56"/>
      <c r="J67" s="56"/>
      <c r="K67" s="56"/>
      <c r="L67" s="56"/>
      <c r="M67" s="56"/>
      <c r="N67" s="56"/>
      <c r="O67" s="56"/>
    </row>
    <row r="68" spans="2:15" x14ac:dyDescent="0.3">
      <c r="B68" s="56"/>
      <c r="C68" s="56"/>
      <c r="D68" s="56"/>
      <c r="E68" s="56"/>
      <c r="F68" s="56"/>
      <c r="G68" s="56"/>
      <c r="H68" s="56"/>
      <c r="I68" s="56"/>
      <c r="J68" s="56"/>
      <c r="K68" s="56"/>
      <c r="L68" s="56"/>
      <c r="M68" s="56"/>
      <c r="N68" s="56"/>
      <c r="O68" s="56"/>
    </row>
    <row r="69" spans="2:15" x14ac:dyDescent="0.3">
      <c r="B69" s="56"/>
      <c r="C69" s="56"/>
      <c r="D69" s="56"/>
      <c r="E69" s="56"/>
      <c r="F69" s="56"/>
      <c r="G69" s="56"/>
      <c r="H69" s="56"/>
      <c r="I69" s="56"/>
      <c r="J69" s="56"/>
      <c r="K69" s="56"/>
      <c r="L69" s="56"/>
      <c r="M69" s="56"/>
      <c r="N69" s="56"/>
      <c r="O69" s="56"/>
    </row>
    <row r="70" spans="2:15" x14ac:dyDescent="0.3">
      <c r="B70" s="56"/>
      <c r="C70" s="56"/>
      <c r="D70" s="56"/>
      <c r="E70" s="56"/>
      <c r="F70" s="56"/>
      <c r="G70" s="56"/>
      <c r="H70" s="56"/>
      <c r="I70" s="56"/>
      <c r="J70" s="56"/>
      <c r="K70" s="56"/>
      <c r="L70" s="56"/>
      <c r="M70" s="56"/>
      <c r="N70" s="56"/>
      <c r="O70" s="56"/>
    </row>
    <row r="71" spans="2:15" x14ac:dyDescent="0.3">
      <c r="B71" s="56"/>
      <c r="C71" s="56"/>
      <c r="D71" s="56"/>
      <c r="E71" s="56"/>
      <c r="F71" s="56"/>
      <c r="G71" s="56"/>
      <c r="H71" s="56"/>
      <c r="I71" s="56"/>
      <c r="J71" s="56"/>
      <c r="K71" s="56"/>
      <c r="L71" s="56"/>
      <c r="M71" s="56"/>
      <c r="N71" s="56"/>
      <c r="O71" s="56"/>
    </row>
    <row r="72" spans="2:15" x14ac:dyDescent="0.3">
      <c r="B72" s="56"/>
      <c r="C72" s="56"/>
      <c r="D72" s="56"/>
      <c r="E72" s="56"/>
      <c r="F72" s="56"/>
      <c r="G72" s="56"/>
      <c r="H72" s="56"/>
      <c r="I72" s="56"/>
      <c r="J72" s="56"/>
      <c r="K72" s="56"/>
      <c r="L72" s="56"/>
      <c r="M72" s="56"/>
      <c r="N72" s="56"/>
      <c r="O72" s="56"/>
    </row>
    <row r="73" spans="2:15" x14ac:dyDescent="0.3">
      <c r="B73" s="56"/>
      <c r="C73" s="56"/>
      <c r="D73" s="56"/>
      <c r="E73" s="56"/>
      <c r="F73" s="56"/>
      <c r="G73" s="56"/>
      <c r="H73" s="56"/>
      <c r="I73" s="56"/>
      <c r="J73" s="56"/>
      <c r="K73" s="56"/>
      <c r="L73" s="56"/>
      <c r="M73" s="56"/>
      <c r="N73" s="56"/>
      <c r="O73" s="56"/>
    </row>
    <row r="74" spans="2:15" x14ac:dyDescent="0.3">
      <c r="B74" s="56"/>
      <c r="C74" s="56"/>
      <c r="D74" s="56"/>
      <c r="E74" s="56"/>
      <c r="F74" s="56"/>
      <c r="G74" s="56"/>
      <c r="H74" s="56"/>
      <c r="I74" s="56"/>
      <c r="J74" s="56"/>
      <c r="K74" s="56"/>
      <c r="L74" s="56"/>
      <c r="M74" s="56"/>
      <c r="N74" s="56"/>
      <c r="O74" s="56"/>
    </row>
    <row r="75" spans="2:15" x14ac:dyDescent="0.3">
      <c r="B75" s="56"/>
      <c r="C75" s="56"/>
      <c r="D75" s="56"/>
      <c r="E75" s="56"/>
      <c r="F75" s="56"/>
      <c r="G75" s="56"/>
      <c r="H75" s="56"/>
      <c r="I75" s="56"/>
      <c r="J75" s="56"/>
      <c r="K75" s="56"/>
      <c r="L75" s="56"/>
      <c r="M75" s="56"/>
      <c r="N75" s="56"/>
      <c r="O75" s="56"/>
    </row>
    <row r="76" spans="2:15" x14ac:dyDescent="0.3">
      <c r="B76" s="56"/>
      <c r="C76" s="56"/>
      <c r="D76" s="56"/>
      <c r="E76" s="56"/>
      <c r="F76" s="56"/>
      <c r="G76" s="56"/>
      <c r="H76" s="56"/>
      <c r="I76" s="56"/>
      <c r="J76" s="56"/>
      <c r="K76" s="56"/>
      <c r="L76" s="56"/>
      <c r="M76" s="56"/>
      <c r="N76" s="56"/>
      <c r="O76" s="56"/>
    </row>
    <row r="77" spans="2:15" x14ac:dyDescent="0.3">
      <c r="B77" s="56"/>
      <c r="C77" s="56"/>
      <c r="D77" s="56"/>
      <c r="E77" s="56"/>
      <c r="F77" s="56"/>
      <c r="G77" s="56"/>
      <c r="H77" s="56"/>
      <c r="I77" s="56"/>
      <c r="J77" s="56"/>
      <c r="K77" s="56"/>
      <c r="L77" s="56"/>
      <c r="M77" s="56"/>
      <c r="N77" s="56"/>
      <c r="O77" s="56"/>
    </row>
    <row r="78" spans="2:15" x14ac:dyDescent="0.3">
      <c r="B78" s="56"/>
      <c r="C78" s="56"/>
      <c r="D78" s="56"/>
      <c r="E78" s="56"/>
      <c r="F78" s="56"/>
      <c r="G78" s="56"/>
      <c r="H78" s="56"/>
      <c r="I78" s="56"/>
      <c r="J78" s="56"/>
      <c r="K78" s="56"/>
      <c r="L78" s="56"/>
      <c r="M78" s="56"/>
      <c r="N78" s="56"/>
      <c r="O78" s="56"/>
    </row>
    <row r="79" spans="2:15" x14ac:dyDescent="0.3">
      <c r="B79" s="56"/>
      <c r="C79" s="56"/>
      <c r="D79" s="56"/>
      <c r="E79" s="56"/>
      <c r="F79" s="56"/>
      <c r="G79" s="56"/>
      <c r="H79" s="56"/>
      <c r="I79" s="56"/>
      <c r="J79" s="56"/>
      <c r="K79" s="56"/>
      <c r="L79" s="56"/>
      <c r="M79" s="56"/>
      <c r="N79" s="56"/>
      <c r="O79" s="56"/>
    </row>
    <row r="80" spans="2:15" x14ac:dyDescent="0.3">
      <c r="B80" s="56"/>
      <c r="C80" s="56"/>
      <c r="D80" s="56"/>
      <c r="E80" s="56"/>
      <c r="F80" s="56"/>
      <c r="G80" s="56"/>
      <c r="H80" s="56"/>
      <c r="I80" s="56"/>
      <c r="J80" s="56"/>
      <c r="K80" s="56"/>
      <c r="L80" s="56"/>
      <c r="M80" s="56"/>
      <c r="N80" s="56"/>
      <c r="O80" s="56"/>
    </row>
    <row r="81" spans="2:15" x14ac:dyDescent="0.3">
      <c r="B81" s="56"/>
      <c r="C81" s="56"/>
      <c r="D81" s="56"/>
      <c r="E81" s="56"/>
      <c r="F81" s="56"/>
      <c r="G81" s="56"/>
      <c r="H81" s="56"/>
      <c r="I81" s="56"/>
      <c r="J81" s="56"/>
      <c r="K81" s="56"/>
      <c r="L81" s="56"/>
      <c r="M81" s="56"/>
      <c r="N81" s="56"/>
      <c r="O81" s="56"/>
    </row>
    <row r="82" spans="2:15" x14ac:dyDescent="0.3">
      <c r="B82" s="56"/>
      <c r="C82" s="56"/>
      <c r="D82" s="56"/>
      <c r="E82" s="56"/>
      <c r="F82" s="56"/>
      <c r="G82" s="56"/>
      <c r="H82" s="56"/>
      <c r="I82" s="56"/>
      <c r="J82" s="56"/>
      <c r="K82" s="56"/>
      <c r="L82" s="56"/>
      <c r="M82" s="56"/>
      <c r="N82" s="56"/>
      <c r="O82" s="56"/>
    </row>
    <row r="83" spans="2:15" x14ac:dyDescent="0.3">
      <c r="B83" s="56"/>
      <c r="C83" s="56"/>
      <c r="D83" s="56"/>
      <c r="E83" s="56"/>
      <c r="F83" s="56"/>
      <c r="G83" s="56"/>
      <c r="H83" s="56"/>
      <c r="I83" s="56"/>
      <c r="J83" s="56"/>
      <c r="K83" s="56"/>
      <c r="L83" s="56"/>
      <c r="M83" s="56"/>
      <c r="N83" s="56"/>
      <c r="O83" s="56"/>
    </row>
    <row r="84" spans="2:15" x14ac:dyDescent="0.3">
      <c r="B84" s="56"/>
      <c r="C84" s="56"/>
      <c r="D84" s="56"/>
      <c r="E84" s="56"/>
      <c r="F84" s="56"/>
      <c r="G84" s="56"/>
      <c r="H84" s="56"/>
      <c r="I84" s="56"/>
      <c r="J84" s="56"/>
      <c r="K84" s="56"/>
      <c r="L84" s="56"/>
      <c r="M84" s="56"/>
      <c r="N84" s="56"/>
      <c r="O84" s="56"/>
    </row>
    <row r="85" spans="2:15" x14ac:dyDescent="0.3">
      <c r="B85" s="56"/>
      <c r="C85" s="56"/>
      <c r="D85" s="56"/>
      <c r="E85" s="56"/>
      <c r="F85" s="56"/>
      <c r="G85" s="56"/>
      <c r="H85" s="56"/>
      <c r="I85" s="56"/>
      <c r="J85" s="56"/>
      <c r="K85" s="56"/>
      <c r="L85" s="56"/>
      <c r="M85" s="56"/>
      <c r="N85" s="56"/>
      <c r="O85" s="56"/>
    </row>
    <row r="86" spans="2:15" x14ac:dyDescent="0.3">
      <c r="B86" s="56"/>
      <c r="C86" s="56"/>
      <c r="D86" s="56"/>
      <c r="E86" s="56"/>
      <c r="F86" s="56"/>
      <c r="G86" s="56"/>
      <c r="H86" s="56"/>
      <c r="I86" s="56"/>
      <c r="J86" s="56"/>
      <c r="K86" s="56"/>
      <c r="L86" s="56"/>
      <c r="M86" s="56"/>
      <c r="N86" s="56"/>
      <c r="O86" s="56"/>
    </row>
    <row r="87" spans="2:15" x14ac:dyDescent="0.3">
      <c r="B87" s="56"/>
      <c r="C87" s="56"/>
      <c r="D87" s="56"/>
      <c r="E87" s="56"/>
      <c r="F87" s="56"/>
      <c r="G87" s="56"/>
      <c r="H87" s="56"/>
      <c r="I87" s="56"/>
      <c r="J87" s="56"/>
      <c r="K87" s="56"/>
      <c r="L87" s="56"/>
      <c r="M87" s="56"/>
      <c r="N87" s="56"/>
      <c r="O87" s="56"/>
    </row>
    <row r="88" spans="2:15" x14ac:dyDescent="0.3">
      <c r="B88" s="56"/>
      <c r="C88" s="56"/>
      <c r="D88" s="56"/>
      <c r="E88" s="56"/>
      <c r="F88" s="56"/>
      <c r="G88" s="56"/>
      <c r="H88" s="56"/>
      <c r="I88" s="56"/>
      <c r="J88" s="56"/>
      <c r="K88" s="56"/>
      <c r="L88" s="56"/>
      <c r="M88" s="56"/>
      <c r="N88" s="56"/>
      <c r="O88" s="56"/>
    </row>
    <row r="89" spans="2:15" x14ac:dyDescent="0.3">
      <c r="B89" s="56"/>
      <c r="C89" s="56"/>
      <c r="D89" s="56"/>
      <c r="E89" s="56"/>
      <c r="F89" s="56"/>
      <c r="G89" s="56"/>
      <c r="H89" s="56"/>
      <c r="I89" s="56"/>
      <c r="J89" s="56"/>
      <c r="K89" s="56"/>
      <c r="L89" s="56"/>
      <c r="M89" s="56"/>
      <c r="N89" s="56"/>
      <c r="O89" s="56"/>
    </row>
    <row r="90" spans="2:15" x14ac:dyDescent="0.3">
      <c r="B90" s="56"/>
      <c r="C90" s="56"/>
      <c r="D90" s="56"/>
      <c r="E90" s="56"/>
      <c r="F90" s="56"/>
      <c r="G90" s="56"/>
      <c r="H90" s="56"/>
      <c r="I90" s="56"/>
      <c r="J90" s="56"/>
      <c r="K90" s="56"/>
      <c r="L90" s="56"/>
      <c r="M90" s="56"/>
      <c r="N90" s="56"/>
      <c r="O90" s="56"/>
    </row>
    <row r="91" spans="2:15" x14ac:dyDescent="0.3">
      <c r="B91" s="56"/>
      <c r="C91" s="56"/>
      <c r="D91" s="56"/>
      <c r="E91" s="56"/>
      <c r="F91" s="56"/>
      <c r="G91" s="56"/>
      <c r="H91" s="56"/>
      <c r="I91" s="56"/>
      <c r="J91" s="56"/>
      <c r="K91" s="56"/>
      <c r="L91" s="56"/>
      <c r="M91" s="56"/>
      <c r="N91" s="56"/>
      <c r="O91" s="56"/>
    </row>
    <row r="92" spans="2:15" x14ac:dyDescent="0.3">
      <c r="B92" s="56"/>
      <c r="C92" s="56"/>
      <c r="D92" s="56"/>
      <c r="E92" s="56"/>
      <c r="F92" s="56"/>
      <c r="G92" s="56"/>
      <c r="H92" s="56"/>
      <c r="I92" s="56"/>
      <c r="J92" s="56"/>
      <c r="K92" s="56"/>
      <c r="L92" s="56"/>
      <c r="M92" s="56"/>
      <c r="N92" s="56"/>
      <c r="O92" s="56"/>
    </row>
    <row r="93" spans="2:15" x14ac:dyDescent="0.3">
      <c r="B93" s="56"/>
      <c r="C93" s="56"/>
      <c r="D93" s="56"/>
      <c r="E93" s="56"/>
      <c r="F93" s="56"/>
      <c r="G93" s="56"/>
      <c r="H93" s="56"/>
      <c r="I93" s="56"/>
      <c r="J93" s="56"/>
      <c r="K93" s="56"/>
      <c r="L93" s="56"/>
      <c r="M93" s="56"/>
      <c r="N93" s="56"/>
      <c r="O93" s="56"/>
    </row>
    <row r="94" spans="2:15" x14ac:dyDescent="0.3">
      <c r="B94" s="56"/>
      <c r="C94" s="56"/>
      <c r="D94" s="56"/>
      <c r="E94" s="56"/>
      <c r="F94" s="56"/>
      <c r="G94" s="56"/>
      <c r="H94" s="56"/>
      <c r="I94" s="56"/>
      <c r="J94" s="56"/>
      <c r="K94" s="56"/>
      <c r="L94" s="56"/>
      <c r="M94" s="56"/>
      <c r="N94" s="56"/>
      <c r="O94" s="56"/>
    </row>
    <row r="95" spans="2:15" x14ac:dyDescent="0.3">
      <c r="B95" s="56"/>
      <c r="C95" s="56"/>
      <c r="D95" s="56"/>
      <c r="E95" s="56"/>
      <c r="F95" s="56"/>
      <c r="G95" s="56"/>
      <c r="H95" s="56"/>
      <c r="I95" s="56"/>
      <c r="J95" s="56"/>
      <c r="K95" s="56"/>
      <c r="L95" s="56"/>
      <c r="M95" s="56"/>
      <c r="N95" s="56"/>
      <c r="O95" s="56"/>
    </row>
    <row r="96" spans="2:15" x14ac:dyDescent="0.3">
      <c r="B96" s="56"/>
      <c r="C96" s="56"/>
      <c r="D96" s="56"/>
      <c r="E96" s="56"/>
      <c r="F96" s="56"/>
      <c r="G96" s="56"/>
      <c r="H96" s="56"/>
      <c r="I96" s="56"/>
      <c r="J96" s="56"/>
      <c r="K96" s="56"/>
      <c r="L96" s="56"/>
      <c r="M96" s="56"/>
      <c r="N96" s="56"/>
      <c r="O96" s="56"/>
    </row>
    <row r="97" spans="2:15" x14ac:dyDescent="0.3">
      <c r="B97" s="56"/>
      <c r="C97" s="56"/>
      <c r="D97" s="56"/>
      <c r="E97" s="56"/>
      <c r="F97" s="56"/>
      <c r="G97" s="56"/>
      <c r="H97" s="56"/>
      <c r="I97" s="56"/>
      <c r="J97" s="56"/>
      <c r="K97" s="56"/>
      <c r="L97" s="56"/>
      <c r="M97" s="56"/>
      <c r="N97" s="56"/>
      <c r="O97" s="56"/>
    </row>
    <row r="98" spans="2:15" x14ac:dyDescent="0.3">
      <c r="B98" s="56"/>
      <c r="C98" s="56"/>
      <c r="D98" s="56"/>
      <c r="E98" s="56"/>
      <c r="F98" s="56"/>
      <c r="G98" s="56"/>
      <c r="H98" s="56"/>
      <c r="I98" s="56"/>
      <c r="J98" s="56"/>
      <c r="K98" s="56"/>
      <c r="L98" s="56"/>
      <c r="M98" s="56"/>
      <c r="N98" s="56"/>
      <c r="O98" s="56"/>
    </row>
    <row r="99" spans="2:15" x14ac:dyDescent="0.3">
      <c r="B99" s="56"/>
      <c r="C99" s="56"/>
      <c r="D99" s="56"/>
      <c r="E99" s="56"/>
      <c r="F99" s="56"/>
      <c r="G99" s="56"/>
      <c r="H99" s="56"/>
      <c r="I99" s="56"/>
      <c r="J99" s="56"/>
      <c r="K99" s="56"/>
      <c r="L99" s="56"/>
      <c r="M99" s="56"/>
      <c r="N99" s="56"/>
      <c r="O99" s="56"/>
    </row>
    <row r="100" spans="2:15" x14ac:dyDescent="0.3">
      <c r="B100" s="56"/>
      <c r="C100" s="56"/>
      <c r="D100" s="56"/>
      <c r="E100" s="56"/>
      <c r="F100" s="56"/>
      <c r="G100" s="56"/>
      <c r="H100" s="56"/>
      <c r="I100" s="56"/>
      <c r="J100" s="56"/>
      <c r="K100" s="56"/>
      <c r="L100" s="56"/>
      <c r="M100" s="56"/>
      <c r="N100" s="56"/>
      <c r="O100" s="56"/>
    </row>
    <row r="101" spans="2:15" x14ac:dyDescent="0.3">
      <c r="B101" s="56"/>
      <c r="C101" s="56"/>
      <c r="D101" s="56"/>
      <c r="E101" s="56"/>
      <c r="F101" s="56"/>
      <c r="G101" s="56"/>
      <c r="H101" s="56"/>
      <c r="I101" s="56"/>
      <c r="J101" s="56"/>
      <c r="K101" s="56"/>
      <c r="L101" s="56"/>
      <c r="M101" s="56"/>
      <c r="N101" s="56"/>
      <c r="O101" s="56"/>
    </row>
    <row r="102" spans="2:15" x14ac:dyDescent="0.3">
      <c r="B102" s="56"/>
      <c r="C102" s="56"/>
      <c r="D102" s="56"/>
      <c r="E102" s="56"/>
      <c r="F102" s="56"/>
      <c r="G102" s="56"/>
      <c r="H102" s="56"/>
      <c r="I102" s="56"/>
      <c r="J102" s="56"/>
      <c r="K102" s="56"/>
      <c r="L102" s="56"/>
      <c r="M102" s="56"/>
      <c r="N102" s="56"/>
      <c r="O102" s="56"/>
    </row>
    <row r="103" spans="2:15" x14ac:dyDescent="0.3">
      <c r="B103" s="56"/>
      <c r="C103" s="56"/>
      <c r="D103" s="56"/>
      <c r="E103" s="56"/>
      <c r="F103" s="56"/>
      <c r="G103" s="56"/>
      <c r="H103" s="56"/>
      <c r="I103" s="56"/>
      <c r="J103" s="56"/>
      <c r="K103" s="56"/>
      <c r="L103" s="56"/>
      <c r="M103" s="56"/>
      <c r="N103" s="56"/>
      <c r="O103" s="56"/>
    </row>
    <row r="104" spans="2:15" x14ac:dyDescent="0.3">
      <c r="B104" s="56"/>
      <c r="C104" s="56"/>
      <c r="D104" s="56"/>
      <c r="E104" s="56"/>
      <c r="F104" s="56"/>
      <c r="G104" s="56"/>
      <c r="H104" s="56"/>
      <c r="I104" s="56"/>
      <c r="J104" s="56"/>
      <c r="K104" s="56"/>
      <c r="L104" s="56"/>
      <c r="M104" s="56"/>
      <c r="N104" s="56"/>
      <c r="O104" s="56"/>
    </row>
    <row r="105" spans="2:15" x14ac:dyDescent="0.3">
      <c r="B105" s="56"/>
      <c r="C105" s="56"/>
      <c r="D105" s="56"/>
      <c r="E105" s="56"/>
      <c r="F105" s="56"/>
      <c r="G105" s="56"/>
      <c r="H105" s="56"/>
      <c r="I105" s="56"/>
      <c r="J105" s="56"/>
      <c r="K105" s="56"/>
      <c r="L105" s="56"/>
      <c r="M105" s="56"/>
      <c r="N105" s="56"/>
      <c r="O105" s="56"/>
    </row>
    <row r="106" spans="2:15" x14ac:dyDescent="0.3">
      <c r="B106" s="56"/>
      <c r="C106" s="56"/>
      <c r="D106" s="56"/>
      <c r="E106" s="56"/>
      <c r="F106" s="56"/>
      <c r="G106" s="56"/>
      <c r="H106" s="56"/>
      <c r="I106" s="56"/>
      <c r="J106" s="56"/>
      <c r="K106" s="56"/>
      <c r="L106" s="56"/>
      <c r="M106" s="56"/>
      <c r="N106" s="56"/>
      <c r="O106" s="56"/>
    </row>
    <row r="107" spans="2:15" x14ac:dyDescent="0.3">
      <c r="B107" s="56"/>
      <c r="C107" s="56"/>
      <c r="D107" s="56"/>
      <c r="E107" s="56"/>
      <c r="F107" s="56"/>
      <c r="G107" s="56"/>
      <c r="H107" s="56"/>
      <c r="I107" s="56"/>
      <c r="J107" s="56"/>
      <c r="K107" s="56"/>
      <c r="L107" s="56"/>
      <c r="M107" s="56"/>
      <c r="N107" s="56"/>
      <c r="O107" s="56"/>
    </row>
    <row r="108" spans="2:15" x14ac:dyDescent="0.3">
      <c r="B108" s="56"/>
      <c r="C108" s="56"/>
      <c r="D108" s="56"/>
      <c r="E108" s="56"/>
      <c r="F108" s="56"/>
      <c r="G108" s="56"/>
      <c r="H108" s="56"/>
      <c r="I108" s="56"/>
      <c r="J108" s="56"/>
      <c r="K108" s="56"/>
      <c r="L108" s="56"/>
      <c r="M108" s="56"/>
      <c r="N108" s="56"/>
      <c r="O108" s="56"/>
    </row>
    <row r="109" spans="2:15" x14ac:dyDescent="0.3">
      <c r="B109" s="56"/>
      <c r="C109" s="56"/>
      <c r="D109" s="56"/>
      <c r="E109" s="56"/>
      <c r="F109" s="56"/>
      <c r="G109" s="56"/>
      <c r="H109" s="56"/>
      <c r="I109" s="56"/>
      <c r="J109" s="56"/>
      <c r="K109" s="56"/>
      <c r="L109" s="56"/>
      <c r="M109" s="56"/>
      <c r="N109" s="56"/>
      <c r="O109" s="56"/>
    </row>
    <row r="110" spans="2:15" x14ac:dyDescent="0.3">
      <c r="B110" s="56"/>
      <c r="C110" s="56"/>
      <c r="D110" s="56"/>
      <c r="E110" s="56"/>
      <c r="F110" s="56"/>
      <c r="G110" s="56"/>
      <c r="H110" s="56"/>
      <c r="I110" s="56"/>
      <c r="J110" s="56"/>
      <c r="K110" s="56"/>
      <c r="L110" s="56"/>
      <c r="M110" s="56"/>
      <c r="N110" s="56"/>
      <c r="O110" s="56"/>
    </row>
    <row r="111" spans="2:15" x14ac:dyDescent="0.3">
      <c r="B111" s="56"/>
      <c r="C111" s="56"/>
      <c r="D111" s="56"/>
      <c r="E111" s="56"/>
      <c r="F111" s="56"/>
      <c r="G111" s="56"/>
      <c r="H111" s="56"/>
      <c r="I111" s="56"/>
      <c r="J111" s="56"/>
      <c r="K111" s="56"/>
      <c r="L111" s="56"/>
      <c r="M111" s="56"/>
      <c r="N111" s="56"/>
      <c r="O111" s="56"/>
    </row>
    <row r="112" spans="2:15" x14ac:dyDescent="0.3">
      <c r="B112" s="56"/>
      <c r="C112" s="56"/>
      <c r="D112" s="56"/>
      <c r="E112" s="56"/>
      <c r="F112" s="56"/>
      <c r="G112" s="56"/>
      <c r="H112" s="56"/>
      <c r="I112" s="56"/>
      <c r="J112" s="56"/>
      <c r="K112" s="56"/>
      <c r="L112" s="56"/>
      <c r="M112" s="56"/>
      <c r="N112" s="56"/>
      <c r="O112" s="56"/>
    </row>
    <row r="113" spans="2:15" x14ac:dyDescent="0.3">
      <c r="B113" s="56"/>
      <c r="C113" s="56"/>
      <c r="D113" s="56"/>
      <c r="E113" s="56"/>
      <c r="F113" s="56"/>
      <c r="G113" s="56"/>
      <c r="H113" s="56"/>
      <c r="I113" s="56"/>
      <c r="J113" s="56"/>
      <c r="K113" s="56"/>
      <c r="L113" s="56"/>
      <c r="M113" s="56"/>
      <c r="N113" s="56"/>
      <c r="O113" s="56"/>
    </row>
    <row r="114" spans="2:15" x14ac:dyDescent="0.3">
      <c r="B114" s="56"/>
      <c r="C114" s="56"/>
      <c r="D114" s="56"/>
      <c r="E114" s="56"/>
      <c r="F114" s="56"/>
      <c r="G114" s="56"/>
      <c r="H114" s="56"/>
      <c r="I114" s="56"/>
      <c r="J114" s="56"/>
      <c r="K114" s="56"/>
      <c r="L114" s="56"/>
      <c r="M114" s="56"/>
      <c r="N114" s="56"/>
      <c r="O114" s="56"/>
    </row>
    <row r="115" spans="2:15" x14ac:dyDescent="0.3">
      <c r="B115" s="56"/>
      <c r="C115" s="56"/>
      <c r="D115" s="56"/>
      <c r="E115" s="56"/>
      <c r="F115" s="56"/>
      <c r="G115" s="56"/>
      <c r="H115" s="56"/>
      <c r="I115" s="56"/>
      <c r="J115" s="56"/>
      <c r="K115" s="56"/>
      <c r="L115" s="56"/>
      <c r="M115" s="56"/>
      <c r="N115" s="56"/>
      <c r="O115" s="56"/>
    </row>
    <row r="116" spans="2:15" x14ac:dyDescent="0.3">
      <c r="B116" s="56"/>
      <c r="C116" s="56"/>
      <c r="D116" s="56"/>
      <c r="E116" s="56"/>
      <c r="F116" s="56"/>
      <c r="G116" s="56"/>
      <c r="H116" s="56"/>
      <c r="I116" s="56"/>
      <c r="J116" s="56"/>
      <c r="K116" s="56"/>
      <c r="L116" s="56"/>
      <c r="M116" s="56"/>
      <c r="N116" s="56"/>
      <c r="O116" s="56"/>
    </row>
    <row r="117" spans="2:15" x14ac:dyDescent="0.3">
      <c r="B117" s="56"/>
      <c r="C117" s="56"/>
      <c r="D117" s="56"/>
      <c r="E117" s="56"/>
      <c r="F117" s="56"/>
      <c r="G117" s="56"/>
      <c r="H117" s="56"/>
      <c r="I117" s="56"/>
      <c r="J117" s="56"/>
      <c r="K117" s="56"/>
      <c r="L117" s="56"/>
      <c r="M117" s="56"/>
      <c r="N117" s="56"/>
      <c r="O117" s="56"/>
    </row>
    <row r="118" spans="2:15" x14ac:dyDescent="0.3">
      <c r="B118" s="56"/>
      <c r="C118" s="56"/>
      <c r="D118" s="56"/>
      <c r="E118" s="56"/>
      <c r="F118" s="56"/>
      <c r="G118" s="56"/>
      <c r="H118" s="56"/>
      <c r="I118" s="56"/>
      <c r="J118" s="56"/>
      <c r="K118" s="56"/>
      <c r="L118" s="56"/>
      <c r="M118" s="56"/>
      <c r="N118" s="56"/>
      <c r="O118" s="56"/>
    </row>
    <row r="119" spans="2:15" x14ac:dyDescent="0.3">
      <c r="B119" s="56"/>
      <c r="C119" s="56"/>
      <c r="D119" s="56"/>
      <c r="E119" s="56"/>
      <c r="F119" s="56"/>
      <c r="G119" s="56"/>
      <c r="H119" s="56"/>
      <c r="I119" s="56"/>
      <c r="J119" s="56"/>
      <c r="K119" s="56"/>
      <c r="L119" s="56"/>
      <c r="M119" s="56"/>
      <c r="N119" s="56"/>
      <c r="O119" s="56"/>
    </row>
    <row r="120" spans="2:15" x14ac:dyDescent="0.3">
      <c r="B120" s="56"/>
      <c r="C120" s="56"/>
      <c r="D120" s="56"/>
      <c r="E120" s="56"/>
      <c r="F120" s="56"/>
      <c r="G120" s="56"/>
      <c r="H120" s="56"/>
      <c r="I120" s="56"/>
      <c r="J120" s="56"/>
      <c r="K120" s="56"/>
      <c r="L120" s="56"/>
      <c r="M120" s="56"/>
      <c r="N120" s="56"/>
      <c r="O120" s="56"/>
    </row>
    <row r="121" spans="2:15" x14ac:dyDescent="0.3">
      <c r="B121" s="56"/>
      <c r="C121" s="56"/>
      <c r="D121" s="56"/>
      <c r="E121" s="56"/>
      <c r="F121" s="56"/>
      <c r="G121" s="56"/>
      <c r="H121" s="56"/>
      <c r="I121" s="56"/>
      <c r="J121" s="56"/>
      <c r="K121" s="56"/>
      <c r="L121" s="56"/>
      <c r="M121" s="56"/>
      <c r="N121" s="56"/>
      <c r="O121" s="56"/>
    </row>
    <row r="122" spans="2:15" x14ac:dyDescent="0.3">
      <c r="B122" s="56"/>
      <c r="C122" s="56"/>
      <c r="D122" s="56"/>
      <c r="E122" s="56"/>
      <c r="F122" s="56"/>
      <c r="G122" s="56"/>
      <c r="H122" s="56"/>
      <c r="I122" s="56"/>
      <c r="J122" s="56"/>
      <c r="K122" s="56"/>
      <c r="L122" s="56"/>
      <c r="M122" s="56"/>
      <c r="N122" s="56"/>
      <c r="O122" s="56"/>
    </row>
    <row r="123" spans="2:15" x14ac:dyDescent="0.3">
      <c r="B123" s="56"/>
      <c r="C123" s="56"/>
      <c r="D123" s="56"/>
      <c r="E123" s="56"/>
      <c r="F123" s="56"/>
      <c r="G123" s="56"/>
      <c r="H123" s="56"/>
      <c r="I123" s="56"/>
      <c r="J123" s="56"/>
      <c r="K123" s="56"/>
      <c r="L123" s="56"/>
      <c r="M123" s="56"/>
      <c r="N123" s="56"/>
      <c r="O123" s="56"/>
    </row>
    <row r="124" spans="2:15" x14ac:dyDescent="0.3">
      <c r="B124" s="56"/>
      <c r="C124" s="56"/>
      <c r="D124" s="56"/>
      <c r="E124" s="56"/>
      <c r="F124" s="56"/>
      <c r="G124" s="56"/>
      <c r="H124" s="56"/>
      <c r="I124" s="56"/>
      <c r="J124" s="56"/>
      <c r="K124" s="56"/>
      <c r="L124" s="56"/>
      <c r="M124" s="56"/>
      <c r="N124" s="56"/>
      <c r="O124" s="56"/>
    </row>
    <row r="125" spans="2:15" x14ac:dyDescent="0.3">
      <c r="B125" s="56"/>
      <c r="C125" s="56"/>
      <c r="D125" s="56"/>
      <c r="E125" s="56"/>
      <c r="F125" s="56"/>
      <c r="G125" s="56"/>
      <c r="H125" s="56"/>
      <c r="I125" s="56"/>
      <c r="J125" s="56"/>
      <c r="K125" s="56"/>
      <c r="L125" s="56"/>
      <c r="M125" s="56"/>
      <c r="N125" s="56"/>
      <c r="O125" s="56"/>
    </row>
    <row r="126" spans="2:15" x14ac:dyDescent="0.3">
      <c r="B126" s="56"/>
      <c r="C126" s="56"/>
      <c r="D126" s="56"/>
      <c r="E126" s="56"/>
      <c r="F126" s="56"/>
      <c r="G126" s="56"/>
      <c r="H126" s="56"/>
      <c r="I126" s="56"/>
      <c r="J126" s="56"/>
      <c r="K126" s="56"/>
      <c r="L126" s="56"/>
      <c r="M126" s="56"/>
      <c r="N126" s="56"/>
      <c r="O126" s="56"/>
    </row>
    <row r="127" spans="2:15" x14ac:dyDescent="0.3">
      <c r="B127" s="56"/>
      <c r="C127" s="56"/>
      <c r="D127" s="56"/>
      <c r="E127" s="56"/>
      <c r="F127" s="56"/>
      <c r="G127" s="56"/>
      <c r="H127" s="56"/>
      <c r="I127" s="56"/>
      <c r="J127" s="56"/>
      <c r="K127" s="56"/>
      <c r="L127" s="56"/>
      <c r="M127" s="56"/>
      <c r="N127" s="56"/>
      <c r="O127" s="56"/>
    </row>
  </sheetData>
  <sheetProtection formatCells="0" formatRows="0" insertRows="0" deleteRows="0" sort="0"/>
  <mergeCells count="6">
    <mergeCell ref="AT28:BB28"/>
    <mergeCell ref="S28:AA28"/>
    <mergeCell ref="L28:O28"/>
    <mergeCell ref="F28:K28"/>
    <mergeCell ref="AB28:AJ28"/>
    <mergeCell ref="AK28:AS28"/>
  </mergeCells>
  <phoneticPr fontId="10" type="noConversion"/>
  <dataValidations count="1">
    <dataValidation type="list" allowBlank="1" showInputMessage="1" showErrorMessage="1" sqref="B30:B37" xr:uid="{2CDE036B-A632-4423-B386-E1FEC793920F}">
      <formula1>"Light vehicle (Sedan/City vehicle),4x4/SUV,Minibus"</formula1>
    </dataValidation>
  </dataValidations>
  <pageMargins left="0.7" right="0.7" top="0.75" bottom="0.75" header="0.3" footer="0.3"/>
  <drawing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8753-8399-4B3A-83FD-1E47565F57E0}">
  <sheetPr>
    <tabColor theme="4"/>
  </sheetPr>
  <dimension ref="A1"/>
  <sheetViews>
    <sheetView showGridLines="0" zoomScaleNormal="100" workbookViewId="0">
      <selection activeCell="Z20" sqref="Z20"/>
    </sheetView>
  </sheetViews>
  <sheetFormatPr defaultColWidth="9.109375" defaultRowHeight="14.4" x14ac:dyDescent="0.3"/>
  <cols>
    <col min="1" max="1" width="3.109375" customWidth="1"/>
  </cols>
  <sheetData/>
  <sheetProtection algorithmName="SHA-512" hashValue="RrSs9akudKIkzrj/jr4hAcXfY9EQ6YSKasroTsne34s8S5/mB3XDOno7OKToO7YuKvrCas0fNnF863/UoMz6qg==" saltValue="LEzEsgKHc5OgkzkqFpkqdA==" spinCount="100000" sheet="1" objects="1" scenarios="1" selectLockedCells="1" selectUn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9352-0642-4D05-97CD-D1CB310A1CC1}">
  <sheetPr>
    <tabColor theme="4"/>
  </sheetPr>
  <dimension ref="A1:L47"/>
  <sheetViews>
    <sheetView showGridLines="0" zoomScale="85" zoomScaleNormal="85" workbookViewId="0">
      <selection activeCell="D38" sqref="D38"/>
    </sheetView>
  </sheetViews>
  <sheetFormatPr defaultColWidth="9.109375" defaultRowHeight="14.4" x14ac:dyDescent="0.3"/>
  <cols>
    <col min="1" max="1" width="45.5546875" bestFit="1" customWidth="1"/>
    <col min="2" max="2" width="32.109375" bestFit="1" customWidth="1"/>
    <col min="3" max="3" width="28.88671875" customWidth="1"/>
    <col min="4" max="4" width="21" bestFit="1" customWidth="1"/>
    <col min="5" max="5" width="18.33203125" customWidth="1"/>
    <col min="6" max="6" width="3.5546875" customWidth="1"/>
    <col min="7" max="7" width="78.6640625" customWidth="1"/>
    <col min="8" max="8" width="21.6640625" customWidth="1"/>
    <col min="9" max="9" width="64.5546875" bestFit="1" customWidth="1"/>
    <col min="10" max="10" width="58.88671875" bestFit="1" customWidth="1"/>
    <col min="11" max="11" width="14.33203125" customWidth="1"/>
    <col min="12" max="12" width="29.33203125" customWidth="1"/>
  </cols>
  <sheetData>
    <row r="1" spans="1:7" ht="44.4" customHeight="1" x14ac:dyDescent="0.3"/>
    <row r="2" spans="1:7" x14ac:dyDescent="0.3">
      <c r="C2" s="6"/>
      <c r="D2" s="6"/>
      <c r="E2" s="6"/>
    </row>
    <row r="3" spans="1:7" ht="14.4" customHeight="1" x14ac:dyDescent="0.3">
      <c r="A3" s="42"/>
      <c r="B3" s="16" t="str">
        <f>"Your chosen scenario (" &amp; TEXT('General Info'!E22, "0%") &amp; ")"</f>
        <v>Your chosen scenario (20%)</v>
      </c>
      <c r="C3" s="10">
        <v>0.1</v>
      </c>
      <c r="D3" s="10">
        <v>0.25</v>
      </c>
      <c r="E3" s="10">
        <v>0.5</v>
      </c>
      <c r="G3" s="76" t="str">
        <f>'Impact Summary'!C3</f>
        <v>Based on the ride sharing analysis, the fleet size of Example Organisation could be reduced by 12% (4 vehicles removed).This means fewer vehicles are needed to meet the same transport demand, helping the organisation to work more efficiently and sustainably.
This change would lead to a reduction of approximately 5000 kilometers traveled each month, saving around 358 – 448 litres litres of fuel per month and reducing CO2 emissions by 938 – 1173 kg kg per month. These reductions directly contribute to lower environmental impact and support sustainability goals.
The estimated total cost savings in the first year would range between $ 9.290 – $ 11.613, while net savings after accounting for all costs would be $ 13.691. The initial investment to start the vehicle sharing scheme could be recovered within 1 month(s).
These calculations are based on a transport demand sharing rate of 20%, meaning nearly a third of trips could be completed using shared vehicles instead of individual ones.</v>
      </c>
    </row>
    <row r="4" spans="1:7" x14ac:dyDescent="0.3">
      <c r="A4" s="42" t="s">
        <v>96</v>
      </c>
      <c r="B4" s="18">
        <f>'General Info'!$E$22*0.6</f>
        <v>0.12</v>
      </c>
      <c r="C4" s="8">
        <f>C3*0.6</f>
        <v>0.06</v>
      </c>
      <c r="D4" s="8">
        <f t="shared" ref="D4:E4" si="0">D3*0.6</f>
        <v>0.15</v>
      </c>
      <c r="E4" s="8">
        <f t="shared" si="0"/>
        <v>0.3</v>
      </c>
      <c r="G4" s="76"/>
    </row>
    <row r="5" spans="1:7" x14ac:dyDescent="0.3">
      <c r="A5" s="42" t="s">
        <v>97</v>
      </c>
      <c r="B5" s="15">
        <f>SUM(Table1[Number of vehicles])</f>
        <v>36</v>
      </c>
      <c r="C5" s="1">
        <f>SUM(Table1[Number of vehicles])</f>
        <v>36</v>
      </c>
      <c r="D5" s="1">
        <f>SUM(Table1[Number of vehicles])</f>
        <v>36</v>
      </c>
      <c r="E5" s="1">
        <f>SUM(Table1[Number of vehicles])</f>
        <v>36</v>
      </c>
      <c r="G5" s="76"/>
    </row>
    <row r="6" spans="1:7" x14ac:dyDescent="0.3">
      <c r="A6" s="42" t="s">
        <v>98</v>
      </c>
      <c r="B6" s="19">
        <f>B5*B4</f>
        <v>4.32</v>
      </c>
      <c r="C6" s="17">
        <f t="shared" ref="C6:E6" si="1">C5*C4</f>
        <v>2.16</v>
      </c>
      <c r="D6" s="17">
        <f t="shared" si="1"/>
        <v>5.3999999999999995</v>
      </c>
      <c r="E6" s="17">
        <f t="shared" si="1"/>
        <v>10.799999999999999</v>
      </c>
      <c r="G6" s="76"/>
    </row>
    <row r="7" spans="1:7" x14ac:dyDescent="0.3">
      <c r="A7" s="42" t="s">
        <v>99</v>
      </c>
      <c r="B7" s="67">
        <f>SUM(Table1[Monthly KM Reduced (User %)])</f>
        <v>5000</v>
      </c>
      <c r="C7" s="9">
        <f>SUM(Table1[Monthly KM reduced (10%)])</f>
        <v>2500</v>
      </c>
      <c r="D7" s="9">
        <f>SUM(Table1[Monthly KM reduced (25%)])</f>
        <v>6250</v>
      </c>
      <c r="E7" s="9">
        <f>SUM(Table1[Monthly KM reduced (50%)])</f>
        <v>12500</v>
      </c>
      <c r="G7" s="76"/>
    </row>
    <row r="8" spans="1:7" x14ac:dyDescent="0.3">
      <c r="A8" s="42" t="s">
        <v>218</v>
      </c>
      <c r="B8" s="20" t="str">
        <f>TEXT(SUM(Table1[Fuel Saved (User %)])*0.8, "0") &amp; " – " &amp; TEXT(SUM(Table1[Fuel Saved (User %)]), "0") &amp; " litres"</f>
        <v>358 – 448 litres</v>
      </c>
      <c r="C8" s="21" t="str">
        <f>TEXT(SUM(Table1[Fuel saved (10%)])*0.8, "0") &amp; " – " &amp; TEXT(SUM(Table1[Fuel saved (10%)]), "0") &amp; " litres"</f>
        <v>179 – 224 litres</v>
      </c>
      <c r="D8" s="22" t="str">
        <f>TEXT(SUM(Table1[Fuel Saved (25%)])*0.8, "0") &amp; " – " &amp; TEXT(SUM(Table1[Fuel Saved (25%)]), "0") &amp; " litres"</f>
        <v>448 – 560 litres</v>
      </c>
      <c r="E8" s="22" t="str">
        <f>TEXT(SUM(Table1[Fuel Saved (50%)])*0.8, "0") &amp; " – " &amp; TEXT(SUM(Table1[Fuel Saved (50%)]), "0") &amp; " litres"</f>
        <v>896 – 1120 litres</v>
      </c>
      <c r="G8" s="76"/>
    </row>
    <row r="9" spans="1:7" x14ac:dyDescent="0.3">
      <c r="A9" s="43" t="s">
        <v>219</v>
      </c>
      <c r="B9" s="23" t="str">
        <f>TEXT(SUM(Table1[Energy Saved (User %)])*0.8, "0") &amp; " – " &amp; TEXT(SUM(Table1[Energy Saved (User %)]), "0") &amp; " kWh"</f>
        <v>65 – 82 kWh</v>
      </c>
      <c r="C9" s="24" t="str">
        <f>TEXT(SUM(Table1[Energy saved (10%)])*0.8, "0") &amp; " – " &amp; TEXT(SUM(Table1[Energy saved (10%)]), "0") &amp; " kWh"</f>
        <v>33 – 41 kWh</v>
      </c>
      <c r="D9" s="24" t="str">
        <f>TEXT(SUM(Table1[Energy Saved (25%)])*0.8, "0") &amp; " – " &amp; TEXT(SUM(Table1[Energy Saved (25%)]), "0") &amp; " kWh"</f>
        <v>82 – 102 kWh</v>
      </c>
      <c r="E9" s="22" t="str">
        <f>TEXT(SUM(Table1[Energy Saved (50%)])*0.8, "0") &amp; " – " &amp; TEXT(SUM(Table1[Energy Saved (50%)]), "0") &amp; " kWh"</f>
        <v>163 – 204 kWh</v>
      </c>
      <c r="G9" s="76"/>
    </row>
    <row r="10" spans="1:7" x14ac:dyDescent="0.3">
      <c r="A10" s="42" t="s">
        <v>100</v>
      </c>
      <c r="B10" s="20" t="str">
        <f>TEXT(SUM(Table1[CO2 Saved (User %)])*0.8, "0") &amp; " – " &amp; TEXT(SUM(Table1[CO2 Saved (User %)]), "0") &amp; " kg"</f>
        <v>938 – 1173 kg</v>
      </c>
      <c r="C10" s="22" t="str">
        <f>TEXT(SUM(Table1[CO2 Saved (10%)])*0.8, "0") &amp; " – " &amp; TEXT(SUM(Table1[CO2 Saved (10%)]), "0") &amp; " kg"</f>
        <v>469 – 586 kg</v>
      </c>
      <c r="D10" s="22" t="str">
        <f>TEXT(SUM(Table1[CO2 Saved (25%)])*0.8, "0") &amp; " – " &amp; TEXT(SUM(Table1[CO2 Saved (25%)]), "0") &amp; " kg"</f>
        <v>1173 – 1466 kg</v>
      </c>
      <c r="E10" s="22" t="str">
        <f>TEXT(SUM(Table1[CO2 Saved (50%)])*0.8, "0") &amp; " – " &amp; TEXT(SUM(Table1[CO2 Saved (50%)]), "0") &amp; " kg"</f>
        <v>2345 – 2931 kg</v>
      </c>
      <c r="G10" s="76"/>
    </row>
    <row r="11" spans="1:7" x14ac:dyDescent="0.3">
      <c r="A11" s="42" t="s">
        <v>228</v>
      </c>
      <c r="B11" s="25" t="str">
        <f>'General Info'!$E$9 &amp; " " &amp; TEXT((SUM(Table1[Fuel/Energy Cost Saved (User %)]) + SUM(Table1[Maintenance costs saved (user %)]))*0.8, "#.##0") &amp; " – " &amp; 'General Info'!$E$9 &amp; " " &amp; TEXT((SUM(Table1[Fuel/Energy Cost Saved (User %)]) + SUM(Table1[Maintenance costs saved (user %)])), "#.##0")</f>
        <v>$ 684 – $ 855</v>
      </c>
      <c r="C11" s="22" t="str">
        <f>'General Info'!$E$9 &amp; " " &amp; TEXT((SUM(Table1[Fuel/Energy costs saved (10%)]) + SUM(Table1[Maintenance cost saved (10%)]))*0.8, "#.##0") &amp; " – " &amp; 'General Info'!$E$9 &amp; " " &amp; TEXT((SUM(Table1[Fuel/Energy costs saved (10%)]) + SUM(Table1[Maintenance cost saved (10%)])), "#.##0")</f>
        <v>$ 342 – $ 428</v>
      </c>
      <c r="D11" s="22" t="str">
        <f>'General Info'!$E$9 &amp; " " &amp; TEXT((SUM(Table1[Fuel/Energy costs saved (25%)]) + SUM(Table1[Maintenance cost saved (25%)]))*0.8, "#.##0") &amp; " – " &amp; 'General Info'!$E$9 &amp; " " &amp; TEXT((SUM(Table1[Fuel/Energy costs saved (25%)]) + SUM(Table1[Maintenance cost saved (25%)])), "#.##0")</f>
        <v>$ 855 – $ 1.069</v>
      </c>
      <c r="E11" s="22" t="str">
        <f>'General Info'!$E$9 &amp; " " &amp; TEXT((SUM(Table1[Fuel/Energy costs saved (50%)]) + SUM(Table1[Maintenance cost saved (50%)]))*0.8, "#.##0") &amp; " – " &amp; 'General Info'!$E$9 &amp; " " &amp; TEXT((SUM(Table1[Fuel/Energy costs saved (50%)]) + SUM(Table1[Maintenance cost saved (50%)])), "#.##0")</f>
        <v>$ 1.710 – $ 2.138</v>
      </c>
      <c r="G11" s="76"/>
    </row>
    <row r="12" spans="1:7" x14ac:dyDescent="0.3">
      <c r="A12" s="42" t="s">
        <v>229</v>
      </c>
      <c r="B12" s="20" t="str">
        <f>'General Info'!$E$9 &amp; " " &amp;
TEXT((SUM(Table1[Monthly depreciation]) * B6 +
      SUM(Table1[Monthly Lease/Rent ]) * B6 +
      SUM(Table1[[Monthly Insurance ]]) * B6) * 0.8, "#.##0") &amp;
" – " &amp;
'General Info'!$E$9 &amp; " " &amp;
TEXT((SUM(Table1[Monthly depreciation]) * B6 +
      SUM(Table1[Monthly Lease/Rent ]) * B6 +
      SUM(Table1[[Monthly Insurance ]]) * B6), "#.##0")</f>
        <v>$ 8.606 – $ 10.758</v>
      </c>
      <c r="C12" s="22" t="str">
        <f>'General Info'!$E$9 &amp; " " &amp;
TEXT((SUM(Table1[Monthly depreciation]) * C6 +
      SUM(Table1[Monthly Lease/Rent ]) * C6 +
      SUM(Table1[[Monthly Insurance ]]) * C6) * 0.8, "#.##0") &amp;
" – " &amp;
'General Info'!$E$9 &amp; " " &amp;
TEXT((SUM(Table1[Monthly depreciation]) * C6 +
      SUM(Table1[Monthly Lease/Rent ]) * C6 +
      SUM(Table1[[Monthly Insurance ]]) * C6), "#.##0")</f>
        <v>$ 4.303 – $ 5.379</v>
      </c>
      <c r="D12" s="22" t="str">
        <f>'General Info'!$E$9 &amp; " " &amp;
TEXT((SUM(Table1[Monthly depreciation]) * D6 +
      SUM(Table1[Monthly Lease/Rent ]) * D6 +
      SUM(Table1[[Monthly Insurance ]]) * D6) * 0.8, "#.##0") &amp;
" – " &amp;
'General Info'!$E$9 &amp; " " &amp;
TEXT((SUM(Table1[Monthly depreciation]) * D6 +
      SUM(Table1[Monthly Lease/Rent ]) * D6 +
      SUM(Table1[[Monthly Insurance ]]) * D6), "#.##0")</f>
        <v>$ 10.758 – $ 13.447</v>
      </c>
      <c r="E12" s="22" t="str">
        <f>'General Info'!$E$9 &amp; " " &amp;
TEXT((SUM(Table1[Monthly depreciation]) * E6 +
      SUM(Table1[Monthly Lease/Rent ]) * E6 +
      SUM(Table1[[Monthly Insurance ]]) * E6) * 0.8, "#.##0") &amp;
" – " &amp;
'General Info'!$E$9 &amp; " " &amp;
TEXT((SUM(Table1[Monthly depreciation]) * E6 +
      SUM(Table1[Monthly Lease/Rent ]) * E6 +
      SUM(Table1[[Monthly Insurance ]]) * E6), "#.##0")</f>
        <v>$ 21.516 – $ 26.895</v>
      </c>
      <c r="G12" s="76"/>
    </row>
    <row r="13" spans="1:7" x14ac:dyDescent="0.3">
      <c r="A13" s="42" t="s">
        <v>230</v>
      </c>
      <c r="B13" s="20" t="str">
        <f>'General Info'!$E$9 &amp; " " &amp;
TEXT(
(
  SUM(Table1[Fuel/Energy Cost Saved (User %)])
  + SUM(Table1[Maintenance costs saved (user %)])
  + SUM(Table1[Monthly depreciation]) * B6
  + SUM(Table1[Monthly Lease/Rent ]) * B6
  + SUM(Table1[[Monthly Insurance ]]) * B6
) * 0.8, "#.##0"
)
&amp; " – " &amp;
'General Info'!$E$9 &amp; " " &amp;
TEXT(
(
  SUM(Table1[Fuel/Energy Cost Saved (User %)])
  + SUM(Table1[Maintenance costs saved (user %)])
  + SUM(Table1[Monthly depreciation]) * B6
  + SUM(Table1[Monthly Lease/Rent ]) * B6
  + SUM(Table1[[Monthly Insurance ]]) * B6
), "#.##0"
)</f>
        <v>$ 9.290 – $ 11.613</v>
      </c>
      <c r="C13" s="22" t="str">
        <f>'General Info'!$E$9 &amp; " " &amp;
TEXT(
(
  SUM(Table1[Fuel/Energy costs saved (10%)])
  + SUM(Table1[Maintenance cost saved (10%)])
  + SUM(Table1[Monthly depreciation]) * C6
  + SUM(Table1[Monthly Lease/Rent ]) * C6
  + SUM(Table1[[Monthly Insurance ]]) * C6
) * 0.8, "#.##0"
)
&amp; " – " &amp;
'General Info'!$E$9 &amp; " " &amp;
TEXT(
(
  SUM(Table1[Fuel/Energy costs saved (10%)])
  + SUM(Table1[Maintenance cost saved (10%)])
  + SUM(Table1[Monthly depreciation]) * C6
  + SUM(Table1[Monthly Lease/Rent ]) * C6
  + SUM(Table1[[Monthly Insurance ]]) * C6
), "#.##0"
)</f>
        <v>$ 4.645 – $ 5.807</v>
      </c>
      <c r="D13" s="22" t="str">
        <f>'General Info'!$E$9 &amp; " " &amp;
TEXT(
(
  SUM(Table1[Fuel/Energy costs saved (25%)])
  + SUM(Table1[Maintenance cost saved (25%)])
  + SUM(Table1[Monthly depreciation]) * D6
  + SUM(Table1[Monthly Lease/Rent ]) * D6
  + SUM(Table1[[Monthly Insurance ]]) * D6
) * 0.8, "#.##0"
)
&amp; " – " &amp;
'General Info'!$E$9 &amp; " " &amp;
TEXT(
(
  SUM(Table1[Fuel/Energy costs saved (25%)])
  + SUM(Table1[Maintenance cost saved (25%)])
  + SUM(Table1[Monthly depreciation]) * D6
  + SUM(Table1[Monthly Lease/Rent ]) * D6
  + SUM(Table1[[Monthly Insurance ]]) * D6
), "#.##0"
)</f>
        <v>$ 11.613 – $ 14.516</v>
      </c>
      <c r="E13" s="22" t="str">
        <f>'General Info'!$E$9 &amp; " " &amp;
TEXT(
(
  SUM(Table1[Fuel/Energy costs saved (50%)])
  + SUM(Table1[Maintenance cost saved (50%)])
  + SUM(Table1[Monthly depreciation]) * E6
  + SUM(Table1[Monthly Lease/Rent ]) * E6
  + SUM(Table1[[Monthly Insurance ]]) * E6
) * 0.8, "#.##0"
)
&amp; " – " &amp;
'General Info'!$E$9 &amp; " " &amp;
TEXT(
(
  SUM(Table1[Fuel/Energy costs saved (50%)])
  + SUM(Table1[Maintenance cost saved (50%)])
  + SUM(Table1[Monthly depreciation]) * E6
  + SUM(Table1[Monthly Lease/Rent ]) * E6
  + SUM(Table1[[Monthly Insurance ]]) * E6
), "#.##0"
)</f>
        <v>$ 23.226 – $ 29.033</v>
      </c>
      <c r="G13" s="76"/>
    </row>
    <row r="14" spans="1:7" x14ac:dyDescent="0.3">
      <c r="A14" s="42" t="s">
        <v>104</v>
      </c>
      <c r="B14" s="20" t="str">
        <f>'General Info'!$E$9 &amp; " " &amp; 'General Info'!$E$16</f>
        <v>$ 500</v>
      </c>
      <c r="C14" s="26" t="str">
        <f>'General Info'!$E$9 &amp; " " &amp; 'General Info'!$E$16</f>
        <v>$ 500</v>
      </c>
      <c r="D14" s="22" t="str">
        <f>'General Info'!$E$9 &amp; " " &amp; 'General Info'!$E$16</f>
        <v>$ 500</v>
      </c>
      <c r="E14" s="22" t="str">
        <f>'General Info'!$E$9 &amp; " " &amp; 'General Info'!$E$16</f>
        <v>$ 500</v>
      </c>
      <c r="G14" s="76"/>
    </row>
    <row r="15" spans="1:7" x14ac:dyDescent="0.3">
      <c r="A15" s="42" t="s">
        <v>105</v>
      </c>
      <c r="B15" s="20" t="str">
        <f xml:space="preserve"> 'General Info'!E9 &amp; " " &amp; TEXT('General Info'!E21+('General Info'!E18*'General Info'!E20), "#.##0")</f>
        <v>$ 875</v>
      </c>
      <c r="C15" s="26" t="str">
        <f xml:space="preserve"> 'General Info'!E9 &amp; " " &amp; TEXT('General Info'!E21+('General Info'!E18*'General Info'!E20), "#.##0")</f>
        <v>$ 875</v>
      </c>
      <c r="D15" s="22" t="str">
        <f xml:space="preserve"> 'General Info'!E9 &amp; " " &amp; TEXT('General Info'!E21+('General Info'!E18*'General Info'!E20), "#.##0")</f>
        <v>$ 875</v>
      </c>
      <c r="E15" s="22" t="str">
        <f xml:space="preserve"> 'General Info'!E9 &amp; " " &amp; TEXT('General Info'!E21+('General Info'!E18*'General Info'!E20), "#.##0")</f>
        <v>$ 875</v>
      </c>
      <c r="G15" s="76"/>
    </row>
    <row r="16" spans="1:7" x14ac:dyDescent="0.3">
      <c r="A16" s="42" t="s">
        <v>106</v>
      </c>
      <c r="B16" s="28" t="str">
        <f>'General Info'!$E$9 &amp; " " &amp; TEXT((SUM(Table1[Fuel/Energy Cost Saved (User %)])
   + SUM(Table1[Maintenance costs saved (user %)]))
   - B46, "#.##0")</f>
        <v>$ -20</v>
      </c>
      <c r="C16" s="21" t="str">
        <f>'General Info'!$E$9 &amp; " " &amp; TEXT((SUM(Table1[Fuel/Energy costs saved (10%)])
   + SUM(Table1[Maintenance cost saved (10%)]))
   - B46, "#.##0")</f>
        <v>$ -447</v>
      </c>
      <c r="D16" s="21" t="str">
        <f>'General Info'!$E$9 &amp; " " &amp; TEXT((SUM(Table1[Fuel/Energy costs saved (25%)])
   + SUM(Table1[Maintenance cost saved (25%)]))
   - B46, "#.##0")</f>
        <v>$ 194</v>
      </c>
      <c r="E16" s="21" t="str">
        <f>'General Info'!$E$9 &amp; " " &amp; TEXT((SUM(Table1[Fuel/Energy costs saved (50%)])
   + SUM(Table1[Maintenance cost saved (50%)]))
   - B46, "#.##0")</f>
        <v>$ 1.263</v>
      </c>
    </row>
    <row r="17" spans="1:5" x14ac:dyDescent="0.3">
      <c r="A17" s="42" t="s">
        <v>107</v>
      </c>
      <c r="B17" s="20" t="str">
        <f>'General Info'!$E$9 &amp; " " &amp; TEXT((
    SUM(Table1[Fuel/Energy Cost Saved (User %)])
  + SUM(Table1[Maintenance costs saved (user %)])
  + SUM(Table1[Deprecation saved (user %)])
  + SUM(Table1[Lease/rent saved (user%)])
  + SUM(Table1[Insurance saved (User%)])
) * 12
 - (B46*12)
 -B45, "#.##0")</f>
        <v>$ 13.691</v>
      </c>
      <c r="C17" s="22" t="str">
        <f>'General Info'!$E$9 &amp; " " &amp; TEXT((
    (SUM(Table1[Fuel/Energy costs saved (10%)]) +
     SUM(Table1[Maintenance cost saved (10%)]) +
     SUM(Table1[Deprecation saved (10%)]) +
     SUM(Table1[Lease/rent saved (10%)]) +
     SUM(Table1[Insurance saved (10%)])
    ) * 12
    - (B46 * 12)
    - B45
), "#.##0")</f>
        <v>$ 1.345</v>
      </c>
      <c r="D17" s="22" t="str">
        <f>'General Info'!$E$9 &amp; " " &amp; TEXT((
    (SUM(Table1[Fuel/Energy costs saved (25%)]) +
     SUM(Table1[Maintenance cost saved (25%)]) +
     SUM(Table1[Deprecation saved (25%)]) +
     SUM(Table1[Lease/rent saved (25%)]) +
     SUM(Table1[Insurance saved (25%)])
    ) * 12
    - (B46 * 12)
    - B45
), "#.##0")</f>
        <v>$ 19.864</v>
      </c>
      <c r="E17" s="22" t="str">
        <f>'General Info'!$E$9 &amp; " " &amp; TEXT((
    (SUM(Table1[Fuel/Energy costs saved (50%)]) +
     SUM(Table1[Maintenance cost saved (50%)]) +
     SUM(Table1[Deprecation saved (50%)]) +
     SUM(Table1[Lease/rent saved (50%)]) +
     SUM(Table1[Insurance saved (50%)])
    ) * 12
    - (B46 * 12)
    - B45
), "#.##0")</f>
        <v>$ 50.727</v>
      </c>
    </row>
    <row r="18" spans="1:5" x14ac:dyDescent="0.3">
      <c r="A18" s="42" t="s">
        <v>109</v>
      </c>
      <c r="B18" s="20" t="str">
        <f>'General Info'!$E$9 &amp; " " &amp; TEXT((
    SUM(Table1[Fuel/Energy Cost Saved (User %)])
  + SUM(Table1[Maintenance costs saved (user %)])
  + SUM(Table1[Deprecation saved (user %)])
  + SUM(Table1[Lease/rent saved (user%)])
  + SUM(Table1[Insurance saved (User%)])
) * 24
 - (B46*24)
 -B45, "#.##0")</f>
        <v>$ 27.882</v>
      </c>
      <c r="C18" s="22" t="str">
        <f>'General Info'!$E$9 &amp; " " &amp; TEXT((
    (SUM(Table1[Fuel/Energy costs saved (10%)]) +
     SUM(Table1[Maintenance cost saved (10%)]) +
     SUM(Table1[Deprecation saved (10%)]) +
     SUM(Table1[Lease/rent saved (10%)]) +
     SUM(Table1[Insurance saved (10%)])
    ) * 24
    - (B46 * 24)
    - B45
), "#.##0")</f>
        <v>$ 3.191</v>
      </c>
      <c r="D18" s="22" t="str">
        <f>'General Info'!$E$9 &amp; " " &amp; TEXT((
    (SUM(Table1[Fuel/Energy costs saved (25%)]) +
     SUM(Table1[Maintenance cost saved (25%)]) +
     SUM(Table1[Deprecation saved (25%)]) +
     SUM(Table1[Lease/rent saved (25%)]) +
     SUM(Table1[Insurance saved (25%)])
    ) * 24
    - (B46 * 24)
    - B45
), "#.##0")</f>
        <v>$ 40.227</v>
      </c>
      <c r="E18" s="22" t="str">
        <f>'General Info'!$E$9 &amp; " " &amp; TEXT((
    (SUM(Table1[Fuel/Energy costs saved (50%)]) +
     SUM(Table1[Maintenance cost saved (50%)]) +
     SUM(Table1[Deprecation saved (50%)]) +
     SUM(Table1[Lease/rent saved (50%)]) +
     SUM(Table1[Insurance saved (50%)])
    ) * 24
    - (B46 * 24)
    - B45
), "#.##0")</f>
        <v>$ 101.955</v>
      </c>
    </row>
    <row r="19" spans="1:5" x14ac:dyDescent="0.3">
      <c r="A19" s="42" t="s">
        <v>111</v>
      </c>
      <c r="B19" s="20" t="str">
        <f>'General Info'!$E$9 &amp; " " &amp; TEXT((
    SUM(Table1[Fuel/Energy Cost Saved (User %)])
  + SUM(Table1[Maintenance costs saved (user %)])
  + SUM(Table1[Deprecation saved (user %)])
  + SUM(Table1[Lease/rent saved (user%)])
  + SUM(Table1[Insurance saved (User%)])
) * 36
 - (B46*36)
 -B45, "#.##0")</f>
        <v>$ 42.073</v>
      </c>
      <c r="C19" s="22" t="str">
        <f>'General Info'!$E$9 &amp; " " &amp; TEXT((
    (SUM(Table1[Fuel/Energy costs saved (10%)]) +
     SUM(Table1[Maintenance cost saved (10%)]) +
     SUM(Table1[Deprecation saved (10%)]) +
     SUM(Table1[Lease/rent saved (10%)]) +
     SUM(Table1[Insurance saved (10%)])
    ) * 36
    - (B46 * 36)
    - B45
), "#.##0")</f>
        <v>$ 5.036</v>
      </c>
      <c r="D19" s="22" t="str">
        <f>'General Info'!$E$9 &amp; " " &amp; TEXT((
    (SUM(Table1[Fuel/Energy costs saved (25%)]) +
     SUM(Table1[Maintenance cost saved (25%)]) +
     SUM(Table1[Deprecation saved (25%)]) +
     SUM(Table1[Lease/rent saved (25%)]) +
     SUM(Table1[Insurance saved (25%)])
    ) * 36
    - (B46 * 36)
    - B45
), "#.##0")</f>
        <v>$ 60.591</v>
      </c>
      <c r="E19" s="22" t="str">
        <f>'General Info'!$E$9 &amp; " " &amp; TEXT((
    (SUM(Table1[Fuel/Energy costs saved (50%)]) +
     SUM(Table1[Maintenance cost saved (50%)]) +
     SUM(Table1[Deprecation saved (50%)]) +
     SUM(Table1[Lease/rent saved (50%)]) +
     SUM(Table1[Insurance saved (50%)])
    ) * 36
    - (B46 * 36)
    - B45
), "#.##0")</f>
        <v>$ 153.182</v>
      </c>
    </row>
    <row r="20" spans="1:5" x14ac:dyDescent="0.3">
      <c r="A20" s="42" t="s">
        <v>108</v>
      </c>
      <c r="B20" s="20" t="str">
        <f>'General Info'!$E$9 &amp; " " &amp; TEXT(
    (SUM(Table1[Fuel/Energy Cost Saved (User %)])
    + SUM(Table1[Maintenance costs saved (user %)])) * 12
    - (B46 * 12)
    - B45,
"#.##0")</f>
        <v>$ -738</v>
      </c>
      <c r="C20" s="22" t="str">
        <f>'General Info'!$E$9 &amp; " " &amp; TEXT(
    (SUM(Table1[Fuel/Energy costs saved (10%)])
    + SUM(Table1[Maintenance cost saved (10%)])) * 12
    - (B46 * 12)
    - B45,
"#.##0")</f>
        <v>$ -5.869</v>
      </c>
      <c r="D20" s="22" t="str">
        <f>'General Info'!$E$9 &amp; " " &amp; TEXT(
    (SUM(Table1[Fuel/Energy costs saved (25%)])
    + SUM(Table1[Maintenance cost saved (25%)])) * 12
    - (B46 * 12)
    - B45,
"#.##0")</f>
        <v>$ 1.828</v>
      </c>
      <c r="E20" s="22" t="str">
        <f>'General Info'!$E$9 &amp; " " &amp; TEXT(
    (SUM(Table1[Fuel/Energy costs saved (50%)])
    + SUM(Table1[Maintenance cost saved (50%)])) * 12
    - (B46 * 12)
    - B45,
"#.##0")</f>
        <v>$ 14.655</v>
      </c>
    </row>
    <row r="21" spans="1:5" x14ac:dyDescent="0.3">
      <c r="A21" s="42" t="s">
        <v>110</v>
      </c>
      <c r="B21" s="20" t="str">
        <f>'General Info'!$E$9 &amp; " " &amp; TEXT(
    (SUM(Table1[Fuel/Energy Cost Saved (User %)])
    + SUM(Table1[Maintenance costs saved (user %)])) * 24
    - (B46 * 24)
    - B45,
"#.##0")</f>
        <v>$ -976</v>
      </c>
      <c r="C21" s="22" t="str">
        <f>'General Info'!$E$9 &amp; " " &amp; TEXT(
    (SUM(Table1[Fuel/Energy costs saved (10%)])
    + SUM(Table1[Maintenance cost saved (10%)])) * 24
    - (B46 * 24)
    - B45,
"#.##0")</f>
        <v>$ -11.238</v>
      </c>
      <c r="D21" s="22" t="str">
        <f>'General Info'!$E$9 &amp; " " &amp; TEXT(
    (SUM(Table1[Fuel/Energy costs saved (25%)])
    + SUM(Table1[Maintenance cost saved (25%)])) * 24
    - (B46 * 24)
    - B45,
"#.##0")</f>
        <v>$ 4.155</v>
      </c>
      <c r="E21" s="22" t="str">
        <f>'General Info'!$E$9 &amp; " " &amp; TEXT(
    (SUM(Table1[Fuel/Energy costs saved (50%)])
    + SUM(Table1[Maintenance cost saved (50%)])) * 24
    - (B46 * 24)
    - B45,
"#.##0")</f>
        <v>$ 29.811</v>
      </c>
    </row>
    <row r="22" spans="1:5" x14ac:dyDescent="0.3">
      <c r="A22" s="42" t="s">
        <v>112</v>
      </c>
      <c r="B22" s="20" t="str">
        <f>'General Info'!$E$9 &amp; " " &amp; TEXT(
    (SUM(Table1[Fuel/Energy Cost Saved (User %)])
    + SUM(Table1[Maintenance costs saved (user %)])) * 36
    - (B46 * 36)
    - B45,
"#.##0")</f>
        <v>$ -1.214</v>
      </c>
      <c r="C22" s="22" t="str">
        <f>'General Info'!$E$9 &amp; " " &amp; TEXT(
    (SUM(Table1[Fuel/Energy costs saved (10%)])
    + SUM(Table1[Maintenance cost saved (10%)])) * 36
    - (B46 * 36)
    - B45,
"#.##0")</f>
        <v>$ -16.607</v>
      </c>
      <c r="D22" s="22" t="str">
        <f>'General Info'!$E$9 &amp; " " &amp; TEXT(
    (SUM(Table1[Fuel/Energy costs saved (25%)])
    + SUM(Table1[Maintenance cost saved (25%)])) * 36
    - (B46 * 36)
    - B45,
"#.##0")</f>
        <v>$ 6.483</v>
      </c>
      <c r="E22" s="22" t="str">
        <f>'General Info'!$E$9 &amp; " " &amp; TEXT(
    (SUM(Table1[Fuel/Energy costs saved (50%)])
    + SUM(Table1[Maintenance cost saved (50%)])) * 36
    - (B46 * 36)
    - B45,
"#.##0")</f>
        <v>$ 44.966</v>
      </c>
    </row>
    <row r="23" spans="1:5" x14ac:dyDescent="0.3">
      <c r="A23" s="42" t="s">
        <v>113</v>
      </c>
      <c r="B23" s="15">
        <f>IF(
    (SUM(Table1[Fuel/Energy Cost Saved (User %)])
    + SUM(Table1[Maintenance costs saved (user %)])
    + SUM(Table1[Deprecation saved (user %)])
    + SUM(Table1[Lease/rent saved (user%)])
    + SUM(Table1[Insurance saved (User%)])
    - B46) &gt; 0,
    ROUNDUP(
        B45 /
        (SUM(Table1[Fuel/Energy Cost Saved (User %)])
        + SUM(Table1[Maintenance costs saved (user %)])
        + SUM(Table1[Deprecation saved (user %)])
        + SUM(Table1[Lease/rent saved (user%)])
        + SUM(Table1[Insurance saved (User%)])
        - B46),
    0),
    "No payback"
)</f>
        <v>1</v>
      </c>
      <c r="C23" s="1">
        <f>IF(
    (SUM(Table1[Fuel/Energy costs saved (10%)])
    + SUM(Table1[Maintenance cost saved (10%)])
    + SUM(Table1[Deprecation saved (10%)])
    + SUM(Table1[Lease/rent saved (10%)])
    + SUM(Table1[Insurance saved (10%)])
    - B46) &gt; 0,
    ROUNDUP(
        B45 /
        (SUM(Table1[Fuel/Energy costs saved (10%)])
        + SUM(Table1[Maintenance cost saved (10%)])
        + SUM(Table1[Deprecation saved (10%)])
        + SUM(Table1[Lease/rent saved (10%)])
        + SUM(Table1[Insurance saved (10%)])
        - B46),
    0),
    "No payback"
)</f>
        <v>4</v>
      </c>
      <c r="D23" s="1">
        <f>IF(
    (SUM(Table1[Fuel/Energy costs saved (25%)])
    + SUM(Table1[Maintenance cost saved (25%)])
    + SUM(Table1[Deprecation saved (25%)])
    + SUM(Table1[Lease/rent saved (25%)])
    + SUM(Table1[Insurance saved (25%)])
    - B46) &gt; 0,
    ROUNDUP(
        B45 /
        (SUM(Table1[Fuel/Energy costs saved (25%)])
        + SUM(Table1[Maintenance cost saved (25%)])
        + SUM(Table1[Deprecation saved (25%)])
        + SUM(Table1[Lease/rent saved (25%)])
        + SUM(Table1[Insurance saved (25%)])
        - B46),
    0),
    "No payback"
)</f>
        <v>1</v>
      </c>
      <c r="E23" s="1">
        <f>IF(
    (SUM(Table1[Fuel/Energy costs saved (50%)])
    + SUM(Table1[Maintenance cost saved (50%)])
    + SUM(Table1[Deprecation saved (50%)])
    + SUM(Table1[Lease/rent saved (50%)])
    + SUM(Table1[Insurance saved (50%)])
    - B46) &gt; 0,
    ROUNDUP(
        B45 /
        (SUM(Table1[Fuel/Energy costs saved (50%)])
        + SUM(Table1[Maintenance cost saved (50%)])
        + SUM(Table1[Deprecation saved (50%)])
        + SUM(Table1[Lease/rent saved (50%)])
        + SUM(Table1[Insurance saved (50%)])
        - B46),
    0),
    "No payback"
)</f>
        <v>1</v>
      </c>
    </row>
    <row r="25" spans="1:5" ht="14.4" customHeight="1" x14ac:dyDescent="0.3"/>
    <row r="33" spans="1:12" x14ac:dyDescent="0.3">
      <c r="A33" s="7"/>
      <c r="B33" s="7"/>
      <c r="L33" s="11"/>
    </row>
    <row r="38" spans="1:12" x14ac:dyDescent="0.3">
      <c r="C38" s="7"/>
    </row>
    <row r="45" spans="1:12" x14ac:dyDescent="0.3">
      <c r="B45" s="52">
        <f>'General Info'!E16</f>
        <v>500</v>
      </c>
      <c r="C45" s="52" t="s">
        <v>114</v>
      </c>
    </row>
    <row r="46" spans="1:12" x14ac:dyDescent="0.3">
      <c r="B46" s="52">
        <f xml:space="preserve"> 'General Info'!E21 + ('General Info'!E18 * 'General Info'!E20)</f>
        <v>875</v>
      </c>
      <c r="C46" s="54" t="s">
        <v>115</v>
      </c>
    </row>
    <row r="47" spans="1:12" x14ac:dyDescent="0.3">
      <c r="C47" s="11"/>
    </row>
  </sheetData>
  <sheetProtection algorithmName="SHA-512" hashValue="saRKr/h11Z5juekWTD1g15qZHBl4D6JVRIKmWhSgfrTV4EEpQOeStVh5bBI4BU2CXjE+jnnwi8bmZNXOtJqcZw==" saltValue="1t0VmjkN37gxoKYd0GHS6A==" spinCount="100000" sheet="1" objects="1" scenarios="1" selectLockedCells="1" selectUnlockedCells="1"/>
  <mergeCells count="1">
    <mergeCell ref="G3:G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799BD-3FDB-4A29-A4AC-0A54297CB9CE}">
  <sheetPr>
    <tabColor theme="6"/>
  </sheetPr>
  <dimension ref="B2:D41"/>
  <sheetViews>
    <sheetView showGridLines="0" topLeftCell="A30" zoomScale="85" zoomScaleNormal="85" workbookViewId="0">
      <selection activeCell="I32" sqref="I32"/>
    </sheetView>
  </sheetViews>
  <sheetFormatPr defaultColWidth="9.109375" defaultRowHeight="14.4" x14ac:dyDescent="0.3"/>
  <cols>
    <col min="2" max="2" width="25.88671875" style="58" customWidth="1"/>
    <col min="3" max="3" width="45.33203125" style="58" hidden="1" customWidth="1"/>
    <col min="4" max="4" width="88.33203125" style="5" customWidth="1"/>
  </cols>
  <sheetData>
    <row r="2" spans="2:4" ht="18" thickBot="1" x14ac:dyDescent="0.4">
      <c r="B2" s="77" t="s">
        <v>243</v>
      </c>
      <c r="C2" s="77"/>
      <c r="D2" s="77"/>
    </row>
    <row r="3" spans="2:4" ht="15" thickTop="1" x14ac:dyDescent="0.3">
      <c r="B3" s="59" t="s">
        <v>184</v>
      </c>
      <c r="C3" s="59" t="s">
        <v>173</v>
      </c>
      <c r="D3" s="66" t="s">
        <v>174</v>
      </c>
    </row>
    <row r="4" spans="2:4" ht="48.6" customHeight="1" x14ac:dyDescent="0.3">
      <c r="B4" s="63" t="s">
        <v>49</v>
      </c>
      <c r="C4" s="60" t="s">
        <v>176</v>
      </c>
      <c r="D4" s="65" t="s">
        <v>175</v>
      </c>
    </row>
    <row r="5" spans="2:4" ht="109.2" customHeight="1" x14ac:dyDescent="0.3">
      <c r="B5" s="63" t="s">
        <v>50</v>
      </c>
      <c r="C5" s="60" t="s">
        <v>177</v>
      </c>
      <c r="D5" s="65" t="s">
        <v>178</v>
      </c>
    </row>
    <row r="6" spans="2:4" ht="86.4" x14ac:dyDescent="0.3">
      <c r="B6" s="63" t="s">
        <v>51</v>
      </c>
      <c r="C6" s="60" t="s">
        <v>179</v>
      </c>
      <c r="D6" s="65" t="s">
        <v>180</v>
      </c>
    </row>
    <row r="7" spans="2:4" x14ac:dyDescent="0.3">
      <c r="B7" s="64"/>
    </row>
    <row r="8" spans="2:4" ht="18" thickBot="1" x14ac:dyDescent="0.4">
      <c r="B8" s="77" t="s">
        <v>252</v>
      </c>
      <c r="C8" s="77"/>
      <c r="D8" s="77"/>
    </row>
    <row r="9" spans="2:4" ht="15" thickTop="1" x14ac:dyDescent="0.3">
      <c r="B9" s="59" t="s">
        <v>184</v>
      </c>
      <c r="C9" s="59" t="s">
        <v>173</v>
      </c>
      <c r="D9" s="66" t="s">
        <v>174</v>
      </c>
    </row>
    <row r="10" spans="2:4" ht="105.6" customHeight="1" x14ac:dyDescent="0.3">
      <c r="B10" s="63" t="s">
        <v>186</v>
      </c>
      <c r="C10" s="62" t="s">
        <v>206</v>
      </c>
      <c r="D10" s="65" t="s">
        <v>199</v>
      </c>
    </row>
    <row r="11" spans="2:4" ht="105.6" customHeight="1" x14ac:dyDescent="0.3">
      <c r="B11" s="63" t="s">
        <v>187</v>
      </c>
      <c r="C11" s="62" t="s">
        <v>198</v>
      </c>
      <c r="D11" s="65" t="s">
        <v>200</v>
      </c>
    </row>
    <row r="12" spans="2:4" ht="105.6" customHeight="1" x14ac:dyDescent="0.3">
      <c r="B12" s="63" t="s">
        <v>188</v>
      </c>
      <c r="C12" s="60" t="s">
        <v>189</v>
      </c>
      <c r="D12" s="65" t="s">
        <v>181</v>
      </c>
    </row>
    <row r="13" spans="2:4" ht="105.6" customHeight="1" x14ac:dyDescent="0.3">
      <c r="B13" s="63" t="s">
        <v>190</v>
      </c>
      <c r="C13" s="60" t="s">
        <v>191</v>
      </c>
      <c r="D13" s="65" t="s">
        <v>201</v>
      </c>
    </row>
    <row r="14" spans="2:4" ht="105.6" customHeight="1" x14ac:dyDescent="0.3">
      <c r="B14" s="63" t="s">
        <v>192</v>
      </c>
      <c r="C14" s="60" t="s">
        <v>193</v>
      </c>
      <c r="D14" s="65" t="s">
        <v>202</v>
      </c>
    </row>
    <row r="15" spans="2:4" ht="105.6" customHeight="1" x14ac:dyDescent="0.3">
      <c r="B15" s="63" t="s">
        <v>194</v>
      </c>
      <c r="C15" s="60" t="s">
        <v>205</v>
      </c>
      <c r="D15" s="65" t="s">
        <v>202</v>
      </c>
    </row>
    <row r="16" spans="2:4" ht="105.6" customHeight="1" x14ac:dyDescent="0.3">
      <c r="B16" s="63" t="s">
        <v>195</v>
      </c>
      <c r="C16" s="60" t="s">
        <v>183</v>
      </c>
      <c r="D16" s="65" t="s">
        <v>256</v>
      </c>
    </row>
    <row r="17" spans="2:4" ht="105.6" customHeight="1" x14ac:dyDescent="0.3">
      <c r="B17" s="63" t="s">
        <v>196</v>
      </c>
      <c r="C17" s="60" t="s">
        <v>182</v>
      </c>
      <c r="D17" s="65" t="s">
        <v>203</v>
      </c>
    </row>
    <row r="18" spans="2:4" ht="105.6" customHeight="1" x14ac:dyDescent="0.3">
      <c r="B18" s="63" t="s">
        <v>197</v>
      </c>
      <c r="C18" s="61" t="s">
        <v>185</v>
      </c>
      <c r="D18" s="65" t="s">
        <v>204</v>
      </c>
    </row>
    <row r="19" spans="2:4" x14ac:dyDescent="0.3">
      <c r="B19" s="64"/>
    </row>
    <row r="20" spans="2:4" ht="18" thickBot="1" x14ac:dyDescent="0.4">
      <c r="B20" s="77" t="s">
        <v>244</v>
      </c>
      <c r="C20" s="77"/>
      <c r="D20" s="77"/>
    </row>
    <row r="21" spans="2:4" ht="15" thickTop="1" x14ac:dyDescent="0.3">
      <c r="B21" s="59" t="s">
        <v>184</v>
      </c>
      <c r="C21" s="59" t="s">
        <v>173</v>
      </c>
      <c r="D21" s="66" t="s">
        <v>174</v>
      </c>
    </row>
    <row r="22" spans="2:4" ht="135" customHeight="1" x14ac:dyDescent="0.3">
      <c r="B22" s="63" t="s">
        <v>96</v>
      </c>
      <c r="C22" s="61" t="s">
        <v>208</v>
      </c>
      <c r="D22" s="65" t="s">
        <v>207</v>
      </c>
    </row>
    <row r="23" spans="2:4" ht="135" customHeight="1" x14ac:dyDescent="0.3">
      <c r="B23" s="63" t="s">
        <v>97</v>
      </c>
      <c r="C23" s="61" t="s">
        <v>209</v>
      </c>
      <c r="D23" s="65" t="s">
        <v>210</v>
      </c>
    </row>
    <row r="24" spans="2:4" ht="135" customHeight="1" x14ac:dyDescent="0.3">
      <c r="B24" s="63" t="s">
        <v>98</v>
      </c>
      <c r="C24" s="61" t="s">
        <v>211</v>
      </c>
      <c r="D24" s="65" t="s">
        <v>212</v>
      </c>
    </row>
    <row r="25" spans="2:4" ht="135" customHeight="1" x14ac:dyDescent="0.3">
      <c r="B25" s="63" t="s">
        <v>99</v>
      </c>
      <c r="C25" s="61" t="s">
        <v>216</v>
      </c>
      <c r="D25" s="65" t="s">
        <v>217</v>
      </c>
    </row>
    <row r="26" spans="2:4" ht="135" customHeight="1" x14ac:dyDescent="0.3">
      <c r="B26" s="63" t="s">
        <v>218</v>
      </c>
      <c r="C26" s="61" t="s">
        <v>215</v>
      </c>
      <c r="D26" s="65" t="s">
        <v>214</v>
      </c>
    </row>
    <row r="27" spans="2:4" ht="135" customHeight="1" x14ac:dyDescent="0.3">
      <c r="B27" s="63" t="s">
        <v>219</v>
      </c>
      <c r="C27" s="61" t="s">
        <v>221</v>
      </c>
      <c r="D27" s="65" t="s">
        <v>220</v>
      </c>
    </row>
    <row r="28" spans="2:4" ht="135" customHeight="1" x14ac:dyDescent="0.3">
      <c r="B28" s="63" t="s">
        <v>100</v>
      </c>
      <c r="C28" s="61" t="s">
        <v>222</v>
      </c>
      <c r="D28" s="65" t="s">
        <v>223</v>
      </c>
    </row>
    <row r="29" spans="2:4" ht="135" customHeight="1" x14ac:dyDescent="0.3">
      <c r="B29" s="63" t="s">
        <v>101</v>
      </c>
      <c r="C29" s="61" t="s">
        <v>224</v>
      </c>
      <c r="D29" s="65" t="s">
        <v>245</v>
      </c>
    </row>
    <row r="30" spans="2:4" ht="135" customHeight="1" x14ac:dyDescent="0.3">
      <c r="B30" s="63" t="s">
        <v>102</v>
      </c>
      <c r="C30" s="61" t="s">
        <v>225</v>
      </c>
      <c r="D30" s="65" t="s">
        <v>246</v>
      </c>
    </row>
    <row r="31" spans="2:4" ht="135" customHeight="1" x14ac:dyDescent="0.3">
      <c r="B31" s="63" t="s">
        <v>103</v>
      </c>
      <c r="C31" s="61" t="s">
        <v>226</v>
      </c>
      <c r="D31" s="65" t="s">
        <v>247</v>
      </c>
    </row>
    <row r="32" spans="2:4" ht="106.2" customHeight="1" x14ac:dyDescent="0.3">
      <c r="B32" s="63" t="s">
        <v>104</v>
      </c>
      <c r="C32" s="61" t="s">
        <v>227</v>
      </c>
      <c r="D32" s="65" t="s">
        <v>257</v>
      </c>
    </row>
    <row r="33" spans="2:4" ht="96" customHeight="1" x14ac:dyDescent="0.3">
      <c r="B33" s="63" t="s">
        <v>105</v>
      </c>
      <c r="C33" s="61" t="s">
        <v>231</v>
      </c>
      <c r="D33" s="65" t="s">
        <v>248</v>
      </c>
    </row>
    <row r="34" spans="2:4" ht="90" customHeight="1" x14ac:dyDescent="0.3">
      <c r="B34" s="63" t="s">
        <v>106</v>
      </c>
      <c r="C34" s="61" t="s">
        <v>232</v>
      </c>
      <c r="D34" s="65" t="s">
        <v>249</v>
      </c>
    </row>
    <row r="35" spans="2:4" ht="296.39999999999998" customHeight="1" x14ac:dyDescent="0.3">
      <c r="B35" s="63" t="s">
        <v>107</v>
      </c>
      <c r="C35" s="61" t="s">
        <v>239</v>
      </c>
      <c r="D35" s="65" t="s">
        <v>258</v>
      </c>
    </row>
    <row r="36" spans="2:4" ht="105.6" customHeight="1" x14ac:dyDescent="0.3">
      <c r="B36" s="63" t="s">
        <v>109</v>
      </c>
      <c r="C36" s="61" t="s">
        <v>240</v>
      </c>
      <c r="D36" s="65" t="s">
        <v>250</v>
      </c>
    </row>
    <row r="37" spans="2:4" ht="99.6" customHeight="1" x14ac:dyDescent="0.3">
      <c r="B37" s="63" t="s">
        <v>111</v>
      </c>
      <c r="C37" s="61" t="s">
        <v>241</v>
      </c>
      <c r="D37" s="65" t="s">
        <v>251</v>
      </c>
    </row>
    <row r="38" spans="2:4" ht="262.2" customHeight="1" x14ac:dyDescent="0.3">
      <c r="B38" s="63" t="s">
        <v>108</v>
      </c>
      <c r="C38" s="61" t="s">
        <v>233</v>
      </c>
      <c r="D38" s="65" t="s">
        <v>259</v>
      </c>
    </row>
    <row r="39" spans="2:4" ht="169.2" customHeight="1" x14ac:dyDescent="0.3">
      <c r="B39" s="63" t="s">
        <v>110</v>
      </c>
      <c r="C39" s="61" t="s">
        <v>234</v>
      </c>
      <c r="D39" s="65" t="s">
        <v>236</v>
      </c>
    </row>
    <row r="40" spans="2:4" ht="155.4" customHeight="1" x14ac:dyDescent="0.3">
      <c r="B40" s="63" t="s">
        <v>112</v>
      </c>
      <c r="C40" s="61" t="s">
        <v>235</v>
      </c>
      <c r="D40" s="65" t="s">
        <v>237</v>
      </c>
    </row>
    <row r="41" spans="2:4" ht="171.6" customHeight="1" x14ac:dyDescent="0.3">
      <c r="B41" s="63" t="s">
        <v>113</v>
      </c>
      <c r="C41" s="61" t="s">
        <v>242</v>
      </c>
      <c r="D41" s="65" t="s">
        <v>238</v>
      </c>
    </row>
  </sheetData>
  <sheetProtection algorithmName="SHA-512" hashValue="L2bWoYIUtIYMsxRbnFXexmZGRBlfBYA9VSPK0Aym2nu1kJPaxr60uyEmew4yUuRq6cyytim4tR5leDlwXYJICw==" saltValue="GkE3H6GMKbjaPv6BPfGH9A==" spinCount="100000" sheet="1" objects="1" scenarios="1"/>
  <mergeCells count="3">
    <mergeCell ref="B2:D2"/>
    <mergeCell ref="B8:D8"/>
    <mergeCell ref="B20:D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4474-F788-4869-8C87-4B57EB146EB2}">
  <dimension ref="A1:F34"/>
  <sheetViews>
    <sheetView workbookViewId="0">
      <selection activeCell="G4" sqref="G4"/>
    </sheetView>
  </sheetViews>
  <sheetFormatPr defaultColWidth="9.109375" defaultRowHeight="14.4" x14ac:dyDescent="0.3"/>
  <cols>
    <col min="4" max="4" width="45.88671875" customWidth="1"/>
    <col min="5" max="5" width="26.6640625" customWidth="1"/>
    <col min="6" max="6" width="47.109375" customWidth="1"/>
  </cols>
  <sheetData>
    <row r="1" spans="1:6" ht="21" x14ac:dyDescent="0.3">
      <c r="A1" s="29"/>
      <c r="B1" s="29"/>
      <c r="C1" s="89" t="s">
        <v>116</v>
      </c>
      <c r="D1" s="89"/>
      <c r="E1" s="89"/>
      <c r="F1" s="29"/>
    </row>
    <row r="2" spans="1:6" x14ac:dyDescent="0.3">
      <c r="A2" s="29"/>
      <c r="B2" s="29"/>
      <c r="C2" s="29"/>
      <c r="D2" s="29"/>
      <c r="E2" s="29"/>
      <c r="F2" s="29"/>
    </row>
    <row r="3" spans="1:6" x14ac:dyDescent="0.3">
      <c r="A3" s="29"/>
      <c r="B3" s="29"/>
      <c r="C3" s="29"/>
      <c r="D3" s="30" t="s">
        <v>117</v>
      </c>
      <c r="E3" s="29"/>
      <c r="F3" s="29"/>
    </row>
    <row r="4" spans="1:6" x14ac:dyDescent="0.3">
      <c r="A4" s="29"/>
      <c r="B4" s="29"/>
      <c r="C4" s="29"/>
      <c r="D4" s="29"/>
      <c r="E4" s="29"/>
      <c r="F4" s="29"/>
    </row>
    <row r="5" spans="1:6" x14ac:dyDescent="0.3">
      <c r="A5" s="29"/>
      <c r="B5" s="29"/>
      <c r="C5" s="29"/>
      <c r="D5" s="31"/>
      <c r="E5" s="29"/>
      <c r="F5" s="29"/>
    </row>
    <row r="6" spans="1:6" x14ac:dyDescent="0.3">
      <c r="A6" s="78"/>
      <c r="B6" s="78"/>
      <c r="C6" s="79"/>
      <c r="D6" s="90" t="s">
        <v>118</v>
      </c>
      <c r="E6" s="32" t="s">
        <v>119</v>
      </c>
      <c r="F6" s="78"/>
    </row>
    <row r="7" spans="1:6" x14ac:dyDescent="0.3">
      <c r="A7" s="78"/>
      <c r="B7" s="78"/>
      <c r="C7" s="79"/>
      <c r="D7" s="91"/>
      <c r="E7" s="32" t="s">
        <v>120</v>
      </c>
      <c r="F7" s="78"/>
    </row>
    <row r="8" spans="1:6" x14ac:dyDescent="0.3">
      <c r="A8" s="78"/>
      <c r="B8" s="78"/>
      <c r="C8" s="79"/>
      <c r="D8" s="92"/>
      <c r="E8" s="32" t="s">
        <v>121</v>
      </c>
      <c r="F8" s="78"/>
    </row>
    <row r="9" spans="1:6" x14ac:dyDescent="0.3">
      <c r="A9" s="29"/>
      <c r="B9" s="29"/>
      <c r="C9" s="29"/>
      <c r="D9" s="33" t="s">
        <v>122</v>
      </c>
      <c r="E9" s="29" t="s">
        <v>123</v>
      </c>
      <c r="F9" s="29"/>
    </row>
    <row r="10" spans="1:6" x14ac:dyDescent="0.3">
      <c r="A10" s="29"/>
      <c r="B10" s="29"/>
      <c r="C10" s="29"/>
      <c r="D10" s="31"/>
      <c r="E10" s="29"/>
      <c r="F10" s="29"/>
    </row>
    <row r="11" spans="1:6" x14ac:dyDescent="0.3">
      <c r="A11" s="29"/>
      <c r="B11" s="29"/>
      <c r="C11" s="29"/>
      <c r="D11" s="29"/>
      <c r="E11" s="29"/>
      <c r="F11" s="29"/>
    </row>
    <row r="12" spans="1:6" x14ac:dyDescent="0.3">
      <c r="A12" s="29"/>
      <c r="B12" s="29"/>
      <c r="C12" s="29"/>
      <c r="D12" s="34"/>
      <c r="E12" s="35" t="s">
        <v>124</v>
      </c>
      <c r="F12" s="35" t="s">
        <v>125</v>
      </c>
    </row>
    <row r="13" spans="1:6" x14ac:dyDescent="0.3">
      <c r="A13" s="78"/>
      <c r="B13" s="78"/>
      <c r="C13" s="79"/>
      <c r="D13" s="80" t="s">
        <v>126</v>
      </c>
      <c r="E13" s="86">
        <v>15</v>
      </c>
      <c r="F13" s="36" t="s">
        <v>127</v>
      </c>
    </row>
    <row r="14" spans="1:6" x14ac:dyDescent="0.3">
      <c r="A14" s="78"/>
      <c r="B14" s="78"/>
      <c r="C14" s="79"/>
      <c r="D14" s="81"/>
      <c r="E14" s="87"/>
      <c r="F14" s="37" t="s">
        <v>128</v>
      </c>
    </row>
    <row r="15" spans="1:6" ht="28.8" x14ac:dyDescent="0.3">
      <c r="A15" s="78"/>
      <c r="B15" s="78"/>
      <c r="C15" s="79"/>
      <c r="D15" s="81"/>
      <c r="E15" s="87"/>
      <c r="F15" s="37" t="s">
        <v>129</v>
      </c>
    </row>
    <row r="16" spans="1:6" ht="28.8" x14ac:dyDescent="0.3">
      <c r="A16" s="78"/>
      <c r="B16" s="78"/>
      <c r="C16" s="79"/>
      <c r="D16" s="81"/>
      <c r="E16" s="87"/>
      <c r="F16" s="37" t="s">
        <v>130</v>
      </c>
    </row>
    <row r="17" spans="1:6" ht="28.8" x14ac:dyDescent="0.3">
      <c r="A17" s="78"/>
      <c r="B17" s="78"/>
      <c r="C17" s="79"/>
      <c r="D17" s="82"/>
      <c r="E17" s="88"/>
      <c r="F17" s="38" t="s">
        <v>131</v>
      </c>
    </row>
    <row r="18" spans="1:6" x14ac:dyDescent="0.3">
      <c r="A18" s="78"/>
      <c r="B18" s="78"/>
      <c r="C18" s="79"/>
      <c r="D18" s="80" t="s">
        <v>132</v>
      </c>
      <c r="E18" s="86">
        <v>30</v>
      </c>
      <c r="F18" s="36" t="s">
        <v>133</v>
      </c>
    </row>
    <row r="19" spans="1:6" ht="28.8" x14ac:dyDescent="0.3">
      <c r="A19" s="78"/>
      <c r="B19" s="78"/>
      <c r="C19" s="79"/>
      <c r="D19" s="81"/>
      <c r="E19" s="87"/>
      <c r="F19" s="37" t="s">
        <v>134</v>
      </c>
    </row>
    <row r="20" spans="1:6" ht="28.8" x14ac:dyDescent="0.3">
      <c r="A20" s="78"/>
      <c r="B20" s="78"/>
      <c r="C20" s="79"/>
      <c r="D20" s="82"/>
      <c r="E20" s="88"/>
      <c r="F20" s="38" t="s">
        <v>135</v>
      </c>
    </row>
    <row r="21" spans="1:6" x14ac:dyDescent="0.3">
      <c r="A21" s="78"/>
      <c r="B21" s="78"/>
      <c r="C21" s="79"/>
      <c r="D21" s="80" t="s">
        <v>136</v>
      </c>
      <c r="E21" s="86"/>
      <c r="F21" s="36" t="s">
        <v>137</v>
      </c>
    </row>
    <row r="22" spans="1:6" x14ac:dyDescent="0.3">
      <c r="A22" s="78"/>
      <c r="B22" s="78"/>
      <c r="C22" s="79"/>
      <c r="D22" s="81"/>
      <c r="E22" s="87"/>
      <c r="F22" s="37" t="s">
        <v>138</v>
      </c>
    </row>
    <row r="23" spans="1:6" x14ac:dyDescent="0.3">
      <c r="A23" s="78"/>
      <c r="B23" s="78"/>
      <c r="C23" s="79"/>
      <c r="D23" s="81"/>
      <c r="E23" s="87"/>
      <c r="F23" s="37" t="s">
        <v>139</v>
      </c>
    </row>
    <row r="24" spans="1:6" ht="28.8" x14ac:dyDescent="0.3">
      <c r="A24" s="78"/>
      <c r="B24" s="78"/>
      <c r="C24" s="79"/>
      <c r="D24" s="81"/>
      <c r="E24" s="87"/>
      <c r="F24" s="37" t="s">
        <v>140</v>
      </c>
    </row>
    <row r="25" spans="1:6" x14ac:dyDescent="0.3">
      <c r="A25" s="78"/>
      <c r="B25" s="78"/>
      <c r="C25" s="79"/>
      <c r="D25" s="82"/>
      <c r="E25" s="88"/>
      <c r="F25" s="38" t="s">
        <v>141</v>
      </c>
    </row>
    <row r="26" spans="1:6" x14ac:dyDescent="0.3">
      <c r="A26" s="78"/>
      <c r="B26" s="78"/>
      <c r="C26" s="79"/>
      <c r="D26" s="80" t="s">
        <v>142</v>
      </c>
      <c r="E26" s="86"/>
      <c r="F26" s="36" t="s">
        <v>143</v>
      </c>
    </row>
    <row r="27" spans="1:6" ht="28.8" x14ac:dyDescent="0.3">
      <c r="A27" s="78"/>
      <c r="B27" s="78"/>
      <c r="C27" s="79"/>
      <c r="D27" s="81"/>
      <c r="E27" s="87"/>
      <c r="F27" s="37" t="s">
        <v>144</v>
      </c>
    </row>
    <row r="28" spans="1:6" x14ac:dyDescent="0.3">
      <c r="A28" s="78"/>
      <c r="B28" s="78"/>
      <c r="C28" s="79"/>
      <c r="D28" s="82"/>
      <c r="E28" s="88"/>
      <c r="F28" s="38" t="s">
        <v>145</v>
      </c>
    </row>
    <row r="29" spans="1:6" x14ac:dyDescent="0.3">
      <c r="A29" s="78"/>
      <c r="B29" s="78"/>
      <c r="C29" s="79"/>
      <c r="D29" s="80" t="s">
        <v>146</v>
      </c>
      <c r="E29" s="83"/>
      <c r="F29" s="39" t="s">
        <v>143</v>
      </c>
    </row>
    <row r="30" spans="1:6" ht="28.8" x14ac:dyDescent="0.3">
      <c r="A30" s="78"/>
      <c r="B30" s="78"/>
      <c r="C30" s="79"/>
      <c r="D30" s="81"/>
      <c r="E30" s="84"/>
      <c r="F30" s="40" t="s">
        <v>147</v>
      </c>
    </row>
    <row r="31" spans="1:6" ht="28.8" x14ac:dyDescent="0.3">
      <c r="A31" s="78"/>
      <c r="B31" s="78"/>
      <c r="C31" s="79"/>
      <c r="D31" s="82"/>
      <c r="E31" s="85"/>
      <c r="F31" s="41" t="s">
        <v>148</v>
      </c>
    </row>
    <row r="32" spans="1:6" x14ac:dyDescent="0.3">
      <c r="A32" s="29"/>
      <c r="B32" s="29"/>
      <c r="C32" s="29"/>
      <c r="D32" s="29"/>
      <c r="E32" s="29"/>
      <c r="F32" s="32"/>
    </row>
    <row r="33" spans="1:6" x14ac:dyDescent="0.3">
      <c r="A33" s="29"/>
      <c r="B33" s="29"/>
      <c r="C33" s="29"/>
      <c r="D33" s="29"/>
      <c r="E33" s="29"/>
      <c r="F33" s="32"/>
    </row>
    <row r="34" spans="1:6" x14ac:dyDescent="0.3">
      <c r="A34" s="29"/>
      <c r="B34" s="29"/>
      <c r="C34" s="29"/>
      <c r="D34" s="29"/>
      <c r="E34" s="29"/>
      <c r="F34" s="32"/>
    </row>
  </sheetData>
  <mergeCells count="31">
    <mergeCell ref="F6:F8"/>
    <mergeCell ref="C1:E1"/>
    <mergeCell ref="A6:A8"/>
    <mergeCell ref="B6:B8"/>
    <mergeCell ref="C6:C8"/>
    <mergeCell ref="D6:D8"/>
    <mergeCell ref="A18:A20"/>
    <mergeCell ref="B18:B20"/>
    <mergeCell ref="C18:C20"/>
    <mergeCell ref="D18:D20"/>
    <mergeCell ref="E18:E20"/>
    <mergeCell ref="A13:A17"/>
    <mergeCell ref="B13:B17"/>
    <mergeCell ref="C13:C17"/>
    <mergeCell ref="D13:D17"/>
    <mergeCell ref="E13:E17"/>
    <mergeCell ref="A26:A28"/>
    <mergeCell ref="B26:B28"/>
    <mergeCell ref="C26:C28"/>
    <mergeCell ref="D26:D28"/>
    <mergeCell ref="E26:E28"/>
    <mergeCell ref="A21:A25"/>
    <mergeCell ref="B21:B25"/>
    <mergeCell ref="C21:C25"/>
    <mergeCell ref="D21:D25"/>
    <mergeCell ref="E21:E25"/>
    <mergeCell ref="A29:A31"/>
    <mergeCell ref="B29:B31"/>
    <mergeCell ref="C29:C31"/>
    <mergeCell ref="D29:D31"/>
    <mergeCell ref="E29:E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9BA-9A64-453E-8B32-193D08FB4CBC}">
  <dimension ref="A2:C10"/>
  <sheetViews>
    <sheetView showGridLines="0" workbookViewId="0">
      <selection activeCell="C25" sqref="C25"/>
    </sheetView>
  </sheetViews>
  <sheetFormatPr defaultColWidth="9.109375" defaultRowHeight="14.4" x14ac:dyDescent="0.3"/>
  <cols>
    <col min="1" max="1" width="22.6640625" bestFit="1" customWidth="1"/>
    <col min="2" max="2" width="17" bestFit="1" customWidth="1"/>
    <col min="3" max="3" width="125.109375" customWidth="1"/>
    <col min="9" max="9" width="22.6640625" bestFit="1" customWidth="1"/>
    <col min="10" max="10" width="13.6640625" bestFit="1" customWidth="1"/>
    <col min="11" max="11" width="11.6640625" bestFit="1" customWidth="1"/>
  </cols>
  <sheetData>
    <row r="2" spans="1:3" x14ac:dyDescent="0.3">
      <c r="A2" t="s">
        <v>149</v>
      </c>
      <c r="B2" t="s">
        <v>150</v>
      </c>
    </row>
    <row r="3" spans="1:3" ht="115.2" customHeight="1" x14ac:dyDescent="0.3">
      <c r="A3" t="s">
        <v>151</v>
      </c>
      <c r="B3" s="7">
        <f>'ROI &amp; Scenario Analysis'!B4</f>
        <v>0.12</v>
      </c>
      <c r="C3" s="93" t="str">
        <f>"Based on the ride sharing analysis, the fleet size of "&amp;'General Info'!E5&amp;" could be reduced by "&amp;TEXT(B3,"0%")&amp;" ("&amp;ROUND(B4,0)&amp;" vehicles removed)."
&amp;"This means fewer vehicles are needed to meet the same transport demand, helping the organisation to work more efficiently and sustainably."&amp;CHAR(10)&amp;CHAR(10)
&amp;"This change would lead to a reduction of approximately "&amp;B5&amp;" kilometers traveled each month, saving around "&amp;B6&amp;" litres of fuel per month and reducing CO2 emissions by "&amp;B7&amp;" kg per month. These reductions directly contribute to lower environmental impact and support sustainability goals."&amp;CHAR(10)&amp;CHAR(10)
&amp;"The estimated total cost savings in the first year would range between "&amp;B8&amp;", while net savings after accounting for all costs would be "&amp;B9&amp;". The initial investment to start the vehicle sharing scheme could be recovered within "&amp;B10&amp;" month(s)."&amp;CHAR(10)&amp;CHAR(10)
&amp;"These calculations are based on a transport demand sharing rate of "&amp;TEXT('General Info'!E22,"0%")&amp;", meaning nearly a third of trips could be completed using shared vehicles instead of individual ones."</f>
        <v>Based on the ride sharing analysis, the fleet size of Example Organisation could be reduced by 12% (4 vehicles removed).This means fewer vehicles are needed to meet the same transport demand, helping the organisation to work more efficiently and sustainably.
This change would lead to a reduction of approximately 5000 kilometers traveled each month, saving around 358 – 448 litres litres of fuel per month and reducing CO2 emissions by 938 – 1173 kg kg per month. These reductions directly contribute to lower environmental impact and support sustainability goals.
The estimated total cost savings in the first year would range between $ 9.290 – $ 11.613, while net savings after accounting for all costs would be $ 13.691. The initial investment to start the vehicle sharing scheme could be recovered within 1 month(s).
These calculations are based on a transport demand sharing rate of 20%, meaning nearly a third of trips could be completed using shared vehicles instead of individual ones.</v>
      </c>
    </row>
    <row r="4" spans="1:3" x14ac:dyDescent="0.3">
      <c r="A4" t="s">
        <v>152</v>
      </c>
      <c r="B4" s="53">
        <f>'ROI &amp; Scenario Analysis'!B6</f>
        <v>4.32</v>
      </c>
      <c r="C4" s="93"/>
    </row>
    <row r="5" spans="1:3" x14ac:dyDescent="0.3">
      <c r="A5" t="s">
        <v>153</v>
      </c>
      <c r="B5">
        <f>'ROI &amp; Scenario Analysis'!B7</f>
        <v>5000</v>
      </c>
      <c r="C5" s="93"/>
    </row>
    <row r="6" spans="1:3" x14ac:dyDescent="0.3">
      <c r="A6" t="s">
        <v>154</v>
      </c>
      <c r="B6" t="str">
        <f>'ROI &amp; Scenario Analysis'!B8</f>
        <v>358 – 448 litres</v>
      </c>
      <c r="C6" s="93"/>
    </row>
    <row r="7" spans="1:3" x14ac:dyDescent="0.3">
      <c r="A7" t="s">
        <v>155</v>
      </c>
      <c r="B7" t="str">
        <f>'ROI &amp; Scenario Analysis'!B10</f>
        <v>938 – 1173 kg</v>
      </c>
      <c r="C7" s="93"/>
    </row>
    <row r="8" spans="1:3" x14ac:dyDescent="0.3">
      <c r="A8" t="s">
        <v>156</v>
      </c>
      <c r="B8" t="str">
        <f>'ROI &amp; Scenario Analysis'!B13</f>
        <v>$ 9.290 – $ 11.613</v>
      </c>
      <c r="C8" s="93"/>
    </row>
    <row r="9" spans="1:3" x14ac:dyDescent="0.3">
      <c r="A9" t="s">
        <v>157</v>
      </c>
      <c r="B9" t="str">
        <f>'ROI &amp; Scenario Analysis'!B17</f>
        <v>$ 13.691</v>
      </c>
      <c r="C9" s="93"/>
    </row>
    <row r="10" spans="1:3" x14ac:dyDescent="0.3">
      <c r="A10" t="s">
        <v>158</v>
      </c>
      <c r="B10">
        <f>'ROI &amp; Scenario Analysis'!B23</f>
        <v>1</v>
      </c>
      <c r="C10" s="93"/>
    </row>
  </sheetData>
  <mergeCells count="1">
    <mergeCell ref="C3: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0B35A55734A4294892919637D5679" ma:contentTypeVersion="16" ma:contentTypeDescription="Create a new document." ma:contentTypeScope="" ma:versionID="90a9f8549841c646c9c84881a5205dd4">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3e87aa9cbe0769ac45a78059ec05762f"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99C6D-8E53-4D0D-96FF-F4389DB3880A}">
  <ds:schemaRefs>
    <ds:schemaRef ds:uri="http://schemas.microsoft.com/office/2006/metadata/properties"/>
    <ds:schemaRef ds:uri="e439e28d-e2d6-4e78-bd3b-9d416c87ae44"/>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f3072275-53d7-481e-8914-54db29348cfd"/>
    <ds:schemaRef ds:uri="http://purl.org/dc/dcmitype/"/>
  </ds:schemaRefs>
</ds:datastoreItem>
</file>

<file path=customXml/itemProps2.xml><?xml version="1.0" encoding="utf-8"?>
<ds:datastoreItem xmlns:ds="http://schemas.openxmlformats.org/officeDocument/2006/customXml" ds:itemID="{78FAD30F-5034-4FBD-800A-6EBDD47A3252}">
  <ds:schemaRefs>
    <ds:schemaRef ds:uri="http://schemas.microsoft.com/sharepoint/v3/contenttype/forms"/>
  </ds:schemaRefs>
</ds:datastoreItem>
</file>

<file path=customXml/itemProps3.xml><?xml version="1.0" encoding="utf-8"?>
<ds:datastoreItem xmlns:ds="http://schemas.openxmlformats.org/officeDocument/2006/customXml" ds:itemID="{C27271E7-A294-47E0-BE23-A59139CF9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72275-53d7-481e-8914-54db29348cfd"/>
    <ds:schemaRef ds:uri="e439e28d-e2d6-4e78-bd3b-9d416c87ae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General Info</vt:lpstr>
      <vt:lpstr>Your Fleet Data</vt:lpstr>
      <vt:lpstr>Vehicle sharing impact results</vt:lpstr>
      <vt:lpstr>ROI &amp; Scenario Analysis</vt:lpstr>
      <vt:lpstr>How the formulas work</vt:lpstr>
      <vt:lpstr>Change Management Costs</vt:lpstr>
      <vt:lpstr>Impact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Dennen</dc:creator>
  <cp:keywords/>
  <dc:description/>
  <cp:lastModifiedBy>Theresa Dennen</cp:lastModifiedBy>
  <cp:revision/>
  <dcterms:created xsi:type="dcterms:W3CDTF">2025-05-14T17:11:15Z</dcterms:created>
  <dcterms:modified xsi:type="dcterms:W3CDTF">2025-07-17T13:31:35Z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0x01010097C0B35A55734A4294892919637D5679</vt:lpwstr>
  </property>
  <property fmtid="{D5CDD505-2E9C-101B-9397-08002B2CF9AE}" pid="3" name="MediaServiceImageTags">
    <vt:lpwstr/>
  </property>
</Properties>
</file>