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sara\polybox\Promotion\07_Fleet Forum\Project OSCE Kosovo\Final Models\"/>
    </mc:Choice>
  </mc:AlternateContent>
  <bookViews>
    <workbookView xWindow="-108" yWindow="-108" windowWidth="23256" windowHeight="12456" tabRatio="809" activeTab="1"/>
  </bookViews>
  <sheets>
    <sheet name="Input Demand" sheetId="1" r:id="rId1"/>
    <sheet name="Input Cost" sheetId="4" r:id="rId2"/>
    <sheet name="Constraints" sheetId="3" r:id="rId3"/>
    <sheet name="Solver" sheetId="2" r:id="rId4"/>
    <sheet name="Dashboard" sheetId="5" r:id="rId5"/>
    <sheet name="Cost Savings Opportunity" sheetId="9" r:id="rId6"/>
    <sheet name="Triangle Analysis" sheetId="7" r:id="rId7"/>
  </sheets>
  <definedNames>
    <definedName name="_xlnm._FilterDatabase" localSheetId="6" hidden="1">'Triangle Analysis'!$B$4:$L$10</definedName>
    <definedName name="DistanceFactorCoreDrive">Constraints!$B$17:$D$17</definedName>
    <definedName name="DistanceFactorOutsourced">Constraints!$B$18:$D$18</definedName>
    <definedName name="DistanceFactorSelfDrive">Constraints!#REF!</definedName>
    <definedName name="DistanceFactorTaxi">Constraints!$B$19:$D$19</definedName>
    <definedName name="DistancesTripTypes">Constraints!$B$22:$D$22</definedName>
    <definedName name="solver_adj" localSheetId="3" hidden="1">Solver!$B$14:$B$15,Solver!$B$18:$D$20</definedName>
    <definedName name="solver_cvg" localSheetId="2" hidden="1">0.0001</definedName>
    <definedName name="solver_cvg" localSheetId="3" hidden="1">"""""""""""""""0,0001"""""""""""""""</definedName>
    <definedName name="solver_drv" localSheetId="2" hidden="1">2</definedName>
    <definedName name="solver_drv" localSheetId="3" hidden="1">1</definedName>
    <definedName name="solver_eng" localSheetId="2" hidden="1">1</definedName>
    <definedName name="solver_eng" localSheetId="4" hidden="1">1</definedName>
    <definedName name="solver_eng" localSheetId="1" hidden="1">1</definedName>
    <definedName name="solver_eng" localSheetId="0" hidden="1">1</definedName>
    <definedName name="solver_eng" localSheetId="3" hidden="1">2</definedName>
    <definedName name="solver_est" localSheetId="2" hidden="1">1</definedName>
    <definedName name="solver_est" localSheetId="3" hidden="1">1</definedName>
    <definedName name="solver_itr" localSheetId="2" hidden="1">2147483647</definedName>
    <definedName name="solver_itr" localSheetId="3" hidden="1">2147483647</definedName>
    <definedName name="solver_lhs1" localSheetId="3" hidden="1">Solver!$B$14:$B$15</definedName>
    <definedName name="solver_lhs10" localSheetId="3" hidden="1">Solver!$I$18:$I$18</definedName>
    <definedName name="solver_lhs11" localSheetId="3" hidden="1">Solver!$I$18:$I$19</definedName>
    <definedName name="solver_lhs12" localSheetId="3" hidden="1">Solver!$I$18:$I$19</definedName>
    <definedName name="solver_lhs2" localSheetId="3" hidden="1">Solver!$B$18:$D$20</definedName>
    <definedName name="solver_lhs3" localSheetId="3" hidden="1">Solver!$B$23:$B$25</definedName>
    <definedName name="solver_lhs4" localSheetId="3" hidden="1">Solver!$B$26:$B$31</definedName>
    <definedName name="solver_lhs5" localSheetId="3" hidden="1">Solver!$B$33:$B$36</definedName>
    <definedName name="solver_lhs6" localSheetId="3" hidden="1">Solver!$B$40:$B$43</definedName>
    <definedName name="solver_lhs7" localSheetId="3" hidden="1">Solver!$B$44:$B$45</definedName>
    <definedName name="solver_lhs8" localSheetId="3" hidden="1">Solver!$I$18:$I$18</definedName>
    <definedName name="solver_lhs9" localSheetId="3" hidden="1">Solver!$I$18:$I$18</definedName>
    <definedName name="solver_lin" localSheetId="3" hidden="1">1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"""""""""""""""0,075"""""""""""""""</definedName>
    <definedName name="solver_msl" localSheetId="2" hidden="1">2</definedName>
    <definedName name="solver_msl" localSheetId="3" hidden="1">2</definedName>
    <definedName name="solver_neg" localSheetId="2" hidden="1">1</definedName>
    <definedName name="solver_neg" localSheetId="4" hidden="1">1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2" hidden="1">0</definedName>
    <definedName name="solver_num" localSheetId="4" hidden="1">0</definedName>
    <definedName name="solver_num" localSheetId="1" hidden="1">0</definedName>
    <definedName name="solver_num" localSheetId="0" hidden="1">0</definedName>
    <definedName name="solver_num" localSheetId="3" hidden="1">4</definedName>
    <definedName name="solver_nwt" localSheetId="2" hidden="1">1</definedName>
    <definedName name="solver_nwt" localSheetId="3" hidden="1">1</definedName>
    <definedName name="solver_opt" localSheetId="2" hidden="1">Constraints!$N$14</definedName>
    <definedName name="solver_opt" localSheetId="4" hidden="1">Dashboard!$G$33</definedName>
    <definedName name="solver_opt" localSheetId="1" hidden="1">'Input Cost'!$I$14</definedName>
    <definedName name="solver_opt" localSheetId="0" hidden="1">'Input Demand'!$M$20</definedName>
    <definedName name="solver_opt" localSheetId="3" hidden="1">Solver!$B$4</definedName>
    <definedName name="solver_pre" localSheetId="2" hidden="1">0.000001</definedName>
    <definedName name="solver_pre" localSheetId="3" hidden="1">"""""""""""""""0,000001"""""""""""""""</definedName>
    <definedName name="solver_rbv" localSheetId="2" hidden="1">2</definedName>
    <definedName name="solver_rbv" localSheetId="3" hidden="1">2</definedName>
    <definedName name="solver_rel1" localSheetId="3" hidden="1">4</definedName>
    <definedName name="solver_rel10" localSheetId="3" hidden="1">5</definedName>
    <definedName name="solver_rel11" localSheetId="3" hidden="1">5</definedName>
    <definedName name="solver_rel12" localSheetId="3" hidden="1">5</definedName>
    <definedName name="solver_rel2" localSheetId="3" hidden="1">4</definedName>
    <definedName name="solver_rel3" localSheetId="3" hidden="1">2</definedName>
    <definedName name="solver_rel4" localSheetId="3" hidden="1">3</definedName>
    <definedName name="solver_rel5" localSheetId="3" hidden="1">1</definedName>
    <definedName name="solver_rel6" localSheetId="3" hidden="1">1</definedName>
    <definedName name="solver_rel7" localSheetId="3" hidden="1">3</definedName>
    <definedName name="solver_rel8" localSheetId="3" hidden="1">5</definedName>
    <definedName name="solver_rel9" localSheetId="3" hidden="1">5</definedName>
    <definedName name="solver_rhs1" localSheetId="3" hidden="1">"integer"</definedName>
    <definedName name="solver_rhs10" localSheetId="3" hidden="1">"binary"</definedName>
    <definedName name="solver_rhs11" localSheetId="3" hidden="1">"binary"</definedName>
    <definedName name="solver_rhs12" localSheetId="3" hidden="1">"binary"</definedName>
    <definedName name="solver_rhs2" localSheetId="3" hidden="1">"integer"</definedName>
    <definedName name="solver_rhs3" localSheetId="3" hidden="1">Solver!$D$23:$D$25</definedName>
    <definedName name="solver_rhs4" localSheetId="3" hidden="1">Solver!$D$26:$D$31</definedName>
    <definedName name="solver_rhs5" localSheetId="3" hidden="1">Solver!$D$33:$D$36</definedName>
    <definedName name="solver_rhs6" localSheetId="3" hidden="1">Solver!$D$40:$D$43</definedName>
    <definedName name="solver_rhs7" localSheetId="3" hidden="1">Solver!$D$44:$D$45</definedName>
    <definedName name="solver_rhs8" localSheetId="3" hidden="1">"binary"</definedName>
    <definedName name="solver_rhs9" localSheetId="3" hidden="1">"binary"</definedName>
    <definedName name="solver_rlx" localSheetId="2" hidden="1">2</definedName>
    <definedName name="solver_rlx" localSheetId="3" hidden="1">2</definedName>
    <definedName name="solver_rsd" localSheetId="2" hidden="1">0</definedName>
    <definedName name="solver_rsd" localSheetId="3" hidden="1">0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0</definedName>
    <definedName name="solver_tim" localSheetId="2" hidden="1">2147483647</definedName>
    <definedName name="solver_tim" localSheetId="3" hidden="1">2147483647</definedName>
    <definedName name="solver_tol" localSheetId="2" hidden="1">0.01</definedName>
    <definedName name="solver_tol" localSheetId="3" hidden="1">1</definedName>
    <definedName name="solver_typ" localSheetId="2" hidden="1">1</definedName>
    <definedName name="solver_typ" localSheetId="4" hidden="1">2</definedName>
    <definedName name="solver_typ" localSheetId="1" hidden="1">1</definedName>
    <definedName name="solver_typ" localSheetId="0" hidden="1">1</definedName>
    <definedName name="solver_typ" localSheetId="3" hidden="1">2</definedName>
    <definedName name="solver_val" localSheetId="2" hidden="1">0</definedName>
    <definedName name="solver_val" localSheetId="4" hidden="1">0</definedName>
    <definedName name="solver_val" localSheetId="1" hidden="1">0</definedName>
    <definedName name="solver_val" localSheetId="0" hidden="1">0</definedName>
    <definedName name="solver_val" localSheetId="3" hidden="1">0</definedName>
    <definedName name="solver_ver" localSheetId="2" hidden="1">3</definedName>
    <definedName name="solver_ver" localSheetId="4" hidden="1">3</definedName>
    <definedName name="solver_ver" localSheetId="1" hidden="1">3</definedName>
    <definedName name="solver_ver" localSheetId="0" hidden="1">3</definedName>
    <definedName name="solver_ver" localSheetId="3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4" i="9"/>
  <c r="C12" i="9"/>
  <c r="C7" i="9"/>
  <c r="C8" i="9"/>
  <c r="C9" i="9"/>
  <c r="C10" i="9"/>
  <c r="C6" i="9"/>
  <c r="C5" i="2"/>
  <c r="C6" i="2"/>
  <c r="C7" i="2"/>
  <c r="C8" i="2"/>
  <c r="C9" i="2"/>
  <c r="C10" i="2"/>
  <c r="C11" i="2"/>
  <c r="C4" i="2"/>
  <c r="E21" i="4"/>
  <c r="C20" i="4"/>
  <c r="C21" i="4"/>
  <c r="C19" i="4"/>
  <c r="C10" i="4"/>
  <c r="C11" i="4"/>
  <c r="C12" i="4"/>
  <c r="C13" i="4"/>
  <c r="C9" i="4"/>
  <c r="E10" i="4"/>
  <c r="E11" i="4"/>
  <c r="E12" i="4"/>
  <c r="E13" i="4"/>
  <c r="E9" i="4"/>
  <c r="E7" i="4"/>
  <c r="E6" i="4"/>
  <c r="B28" i="5" l="1"/>
  <c r="C28" i="5"/>
  <c r="B16" i="2"/>
  <c r="D21" i="2" l="1"/>
  <c r="E19" i="2"/>
  <c r="F14" i="9"/>
  <c r="F13" i="9"/>
  <c r="F12" i="9"/>
  <c r="F10" i="9"/>
  <c r="F9" i="9"/>
  <c r="F8" i="9"/>
  <c r="F7" i="9"/>
  <c r="F6" i="9"/>
  <c r="M8" i="5" l="1"/>
  <c r="M9" i="5"/>
  <c r="M10" i="5"/>
  <c r="M11" i="5"/>
  <c r="M12" i="5"/>
  <c r="M13" i="5"/>
  <c r="M14" i="5"/>
  <c r="M15" i="5"/>
  <c r="M16" i="5"/>
  <c r="M17" i="5"/>
  <c r="M18" i="5"/>
  <c r="M19" i="5"/>
  <c r="M7" i="5"/>
  <c r="G8" i="5"/>
  <c r="G9" i="5"/>
  <c r="G10" i="5"/>
  <c r="G11" i="5"/>
  <c r="G12" i="5"/>
  <c r="G13" i="5"/>
  <c r="G14" i="5"/>
  <c r="G15" i="5"/>
  <c r="G16" i="5"/>
  <c r="G17" i="5"/>
  <c r="G18" i="5"/>
  <c r="G19" i="5"/>
  <c r="G7" i="5"/>
  <c r="B27" i="2" l="1"/>
  <c r="B24" i="9"/>
  <c r="D7" i="5"/>
  <c r="F18" i="2"/>
  <c r="D30" i="2"/>
  <c r="B30" i="2"/>
  <c r="B28" i="2"/>
  <c r="B7" i="2"/>
  <c r="B26" i="2"/>
  <c r="B24" i="2"/>
  <c r="B23" i="2"/>
  <c r="A32" i="9"/>
  <c r="A31" i="9"/>
  <c r="C24" i="9"/>
  <c r="B26" i="9"/>
  <c r="B27" i="9"/>
  <c r="B28" i="9"/>
  <c r="B29" i="9"/>
  <c r="B31" i="9"/>
  <c r="B32" i="9"/>
  <c r="B33" i="9"/>
  <c r="B25" i="9"/>
  <c r="J12" i="9"/>
  <c r="G17" i="9"/>
  <c r="H17" i="9" s="1"/>
  <c r="I17" i="9" s="1"/>
  <c r="G16" i="9"/>
  <c r="H16" i="9" s="1"/>
  <c r="I16" i="9" s="1"/>
  <c r="F17" i="9"/>
  <c r="F16" i="9"/>
  <c r="E17" i="9"/>
  <c r="E16" i="9"/>
  <c r="E7" i="9"/>
  <c r="E8" i="9"/>
  <c r="E9" i="9"/>
  <c r="E10" i="9"/>
  <c r="E12" i="9"/>
  <c r="E13" i="9"/>
  <c r="E14" i="9"/>
  <c r="E6" i="9"/>
  <c r="B7" i="7"/>
  <c r="B8" i="7"/>
  <c r="B6" i="7"/>
  <c r="M6" i="5"/>
  <c r="L6" i="5"/>
  <c r="K6" i="5"/>
  <c r="G6" i="5"/>
  <c r="F6" i="5"/>
  <c r="E6" i="5"/>
  <c r="B27" i="5"/>
  <c r="B26" i="5"/>
  <c r="A31" i="2"/>
  <c r="A30" i="2"/>
  <c r="A29" i="2"/>
  <c r="A28" i="2"/>
  <c r="A19" i="2"/>
  <c r="A20" i="2"/>
  <c r="A18" i="2"/>
  <c r="A15" i="2"/>
  <c r="A14" i="2"/>
  <c r="A10" i="2"/>
  <c r="A11" i="2"/>
  <c r="A9" i="2"/>
  <c r="A7" i="2"/>
  <c r="A6" i="2"/>
  <c r="C2" i="3"/>
  <c r="B2" i="3"/>
  <c r="A7" i="4"/>
  <c r="A6" i="4"/>
  <c r="I10" i="7"/>
  <c r="C26" i="5"/>
  <c r="J17" i="9" l="1"/>
  <c r="L9" i="7"/>
  <c r="M9" i="7" s="1"/>
  <c r="J9" i="7"/>
  <c r="I9" i="7"/>
  <c r="B14" i="9"/>
  <c r="B6" i="9"/>
  <c r="J16" i="9" l="1"/>
  <c r="F19" i="2"/>
  <c r="B25" i="2"/>
  <c r="E20" i="2" l="1"/>
  <c r="E18" i="2"/>
  <c r="D7" i="1"/>
  <c r="C5" i="1"/>
  <c r="D10" i="4"/>
  <c r="G7" i="9" s="1"/>
  <c r="H7" i="9" s="1"/>
  <c r="D11" i="4"/>
  <c r="G8" i="9" s="1"/>
  <c r="H8" i="9" s="1"/>
  <c r="D12" i="4"/>
  <c r="G9" i="9" s="1"/>
  <c r="D13" i="4"/>
  <c r="G10" i="9" s="1"/>
  <c r="H10" i="9" s="1"/>
  <c r="D9" i="4"/>
  <c r="G6" i="9" s="1"/>
  <c r="H6" i="9" s="1"/>
  <c r="C25" i="9" s="1"/>
  <c r="G18" i="2"/>
  <c r="G19" i="2"/>
  <c r="H19" i="2" s="1"/>
  <c r="D31" i="2"/>
  <c r="H9" i="9" l="1"/>
  <c r="I9" i="9" s="1"/>
  <c r="C10" i="7"/>
  <c r="B11" i="2"/>
  <c r="G13" i="9" s="1"/>
  <c r="H13" i="9" s="1"/>
  <c r="J10" i="9"/>
  <c r="C29" i="9"/>
  <c r="I10" i="9"/>
  <c r="C27" i="9"/>
  <c r="I8" i="9"/>
  <c r="J8" i="9"/>
  <c r="D6" i="4"/>
  <c r="J7" i="9"/>
  <c r="I7" i="9"/>
  <c r="C26" i="9"/>
  <c r="D29" i="2"/>
  <c r="B10" i="2"/>
  <c r="G12" i="9" s="1"/>
  <c r="H12" i="9" s="1"/>
  <c r="B9" i="2"/>
  <c r="G14" i="9" s="1"/>
  <c r="H14" i="9" s="1"/>
  <c r="D28" i="2"/>
  <c r="H18" i="2"/>
  <c r="B6" i="2" l="1"/>
  <c r="E7" i="5"/>
  <c r="J9" i="9"/>
  <c r="C28" i="9"/>
  <c r="I13" i="9"/>
  <c r="C32" i="9"/>
  <c r="J13" i="9"/>
  <c r="J6" i="9"/>
  <c r="I6" i="9"/>
  <c r="C31" i="9"/>
  <c r="I12" i="9"/>
  <c r="I14" i="9"/>
  <c r="C33" i="9"/>
  <c r="J14" i="9"/>
  <c r="B8" i="2"/>
  <c r="D10" i="7" s="1"/>
  <c r="J10" i="7" l="1"/>
  <c r="B31" i="2" l="1"/>
  <c r="D11" i="1" l="1"/>
  <c r="D5" i="1" l="1"/>
  <c r="D26" i="2" s="1"/>
  <c r="B4" i="1"/>
  <c r="B24" i="3" l="1"/>
  <c r="E7" i="7" s="1"/>
  <c r="C24" i="3"/>
  <c r="D24" i="3"/>
  <c r="D6" i="1"/>
  <c r="C6" i="7" l="1"/>
  <c r="F6" i="7" s="1"/>
  <c r="C8" i="7"/>
  <c r="D8" i="7" s="1"/>
  <c r="L8" i="7" s="1"/>
  <c r="M8" i="7" s="1"/>
  <c r="D23" i="2"/>
  <c r="D27" i="2" l="1"/>
  <c r="D26" i="5"/>
  <c r="E26" i="5"/>
  <c r="F26" i="5"/>
  <c r="D27" i="5"/>
  <c r="E27" i="5"/>
  <c r="F27" i="5"/>
  <c r="D28" i="5"/>
  <c r="E28" i="5"/>
  <c r="F28" i="5"/>
  <c r="H26" i="5"/>
  <c r="H27" i="5"/>
  <c r="C27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D8" i="5"/>
  <c r="D9" i="5"/>
  <c r="B29" i="2"/>
  <c r="H6" i="7" l="1"/>
  <c r="H7" i="7"/>
  <c r="G6" i="7"/>
  <c r="G7" i="7"/>
  <c r="L15" i="5"/>
  <c r="L10" i="5"/>
  <c r="L18" i="5"/>
  <c r="L11" i="5"/>
  <c r="L19" i="5"/>
  <c r="L12" i="5"/>
  <c r="L13" i="5"/>
  <c r="L14" i="5"/>
  <c r="L8" i="5"/>
  <c r="L16" i="5"/>
  <c r="L7" i="5"/>
  <c r="L9" i="5"/>
  <c r="L17" i="5"/>
  <c r="F8" i="5"/>
  <c r="F7" i="5"/>
  <c r="F9" i="5"/>
  <c r="C4" i="1"/>
  <c r="D25" i="2"/>
  <c r="G27" i="5"/>
  <c r="G26" i="5"/>
  <c r="G28" i="5"/>
  <c r="H28" i="5"/>
  <c r="B5" i="2" l="1"/>
  <c r="B4" i="2" s="1"/>
  <c r="E6" i="7"/>
  <c r="I6" i="7" s="1"/>
  <c r="K6" i="7" s="1"/>
  <c r="C7" i="7"/>
  <c r="D24" i="2"/>
  <c r="D4" i="1"/>
  <c r="K14" i="5"/>
  <c r="K11" i="5"/>
  <c r="K15" i="5"/>
  <c r="K16" i="5"/>
  <c r="K13" i="5"/>
  <c r="K19" i="5"/>
  <c r="K9" i="5"/>
  <c r="K18" i="5"/>
  <c r="E9" i="5"/>
  <c r="K17" i="5"/>
  <c r="K8" i="5"/>
  <c r="K10" i="5"/>
  <c r="E8" i="5"/>
  <c r="K7" i="5"/>
  <c r="K12" i="5"/>
  <c r="D11" i="5"/>
  <c r="D12" i="5"/>
  <c r="D13" i="5"/>
  <c r="D14" i="5"/>
  <c r="D15" i="5"/>
  <c r="D16" i="5"/>
  <c r="D17" i="5"/>
  <c r="D18" i="5"/>
  <c r="D19" i="5"/>
  <c r="D10" i="5"/>
  <c r="F7" i="7" l="1"/>
  <c r="D7" i="7"/>
  <c r="K10" i="7"/>
  <c r="D6" i="7"/>
  <c r="L6" i="7" s="1"/>
  <c r="M6" i="7" s="1"/>
  <c r="F13" i="5"/>
  <c r="E13" i="5"/>
  <c r="F12" i="5"/>
  <c r="E12" i="5"/>
  <c r="E11" i="5"/>
  <c r="F11" i="5"/>
  <c r="E17" i="5"/>
  <c r="F17" i="5"/>
  <c r="E16" i="5"/>
  <c r="F16" i="5"/>
  <c r="F14" i="5"/>
  <c r="E14" i="5"/>
  <c r="E10" i="5"/>
  <c r="F10" i="5"/>
  <c r="F19" i="5"/>
  <c r="E19" i="5"/>
  <c r="E18" i="5"/>
  <c r="F18" i="5"/>
  <c r="F15" i="5"/>
  <c r="E15" i="5"/>
  <c r="I7" i="7" l="1"/>
  <c r="K7" i="7" s="1"/>
  <c r="L7" i="7" l="1"/>
  <c r="M7" i="7" s="1"/>
  <c r="J6" i="7"/>
  <c r="L10" i="7" l="1"/>
  <c r="M10" i="7" s="1"/>
</calcChain>
</file>

<file path=xl/sharedStrings.xml><?xml version="1.0" encoding="utf-8"?>
<sst xmlns="http://schemas.openxmlformats.org/spreadsheetml/2006/main" count="199" uniqueCount="147">
  <si>
    <t xml:space="preserve">Fleet Composition </t>
  </si>
  <si>
    <t>Self-Drive</t>
  </si>
  <si>
    <t>Core-Drive</t>
  </si>
  <si>
    <t xml:space="preserve">Taxi </t>
  </si>
  <si>
    <t xml:space="preserve">Operational Mix </t>
  </si>
  <si>
    <t xml:space="preserve">Demand Charateristics </t>
  </si>
  <si>
    <t xml:space="preserve">Total Distance </t>
  </si>
  <si>
    <t>No of Passengers</t>
  </si>
  <si>
    <t xml:space="preserve">Concurrency </t>
  </si>
  <si>
    <t>No of Missions</t>
  </si>
  <si>
    <t xml:space="preserve">Unit </t>
  </si>
  <si>
    <t xml:space="preserve">km </t>
  </si>
  <si>
    <t xml:space="preserve">% </t>
  </si>
  <si>
    <t>Value</t>
  </si>
  <si>
    <t>Parameter</t>
  </si>
  <si>
    <t>Transporation Mode</t>
  </si>
  <si>
    <t xml:space="preserve">Distance travelled </t>
  </si>
  <si>
    <t>km/day</t>
  </si>
  <si>
    <t>No of Passengers per trip</t>
  </si>
  <si>
    <t xml:space="preserve">vehicles </t>
  </si>
  <si>
    <t xml:space="preserve">No concurrent trips </t>
  </si>
  <si>
    <t>Vehicle Type</t>
  </si>
  <si>
    <t xml:space="preserve">Constraints </t>
  </si>
  <si>
    <t xml:space="preserve">required </t>
  </si>
  <si>
    <t>&gt;=</t>
  </si>
  <si>
    <t>Unit</t>
  </si>
  <si>
    <t xml:space="preserve">Cost per km </t>
  </si>
  <si>
    <t xml:space="preserve">Utilization </t>
  </si>
  <si>
    <t>Transportation Mode</t>
  </si>
  <si>
    <t xml:space="preserve">Max. Utilization per Vehicle per day </t>
  </si>
  <si>
    <t>Missions</t>
  </si>
  <si>
    <t>Distance</t>
  </si>
  <si>
    <t>No of days</t>
  </si>
  <si>
    <t>Taxi</t>
  </si>
  <si>
    <t>Core Drive</t>
  </si>
  <si>
    <t>km</t>
  </si>
  <si>
    <t xml:space="preserve">Cost per Mission </t>
  </si>
  <si>
    <t>Cost per Mission</t>
  </si>
  <si>
    <t xml:space="preserve">total km </t>
  </si>
  <si>
    <t>per trip</t>
  </si>
  <si>
    <t xml:space="preserve">per trip </t>
  </si>
  <si>
    <t>-</t>
  </si>
  <si>
    <t>Technology</t>
  </si>
  <si>
    <t>Salary (core drive)</t>
  </si>
  <si>
    <t>Insurance</t>
  </si>
  <si>
    <t>Other</t>
  </si>
  <si>
    <t>variable cost</t>
  </si>
  <si>
    <t>fix cost</t>
  </si>
  <si>
    <t xml:space="preserve">number of vehicles </t>
  </si>
  <si>
    <t>Outsourced</t>
  </si>
  <si>
    <t>Min number of vehicles (safety constraint)</t>
  </si>
  <si>
    <t>Min number of vehicles</t>
  </si>
  <si>
    <t>% off</t>
  </si>
  <si>
    <t>Cost per km single trip</t>
  </si>
  <si>
    <t>Fleet</t>
  </si>
  <si>
    <t>Long Trips</t>
  </si>
  <si>
    <t>Short Trips</t>
  </si>
  <si>
    <t>Middle Trips</t>
  </si>
  <si>
    <t>short missions</t>
  </si>
  <si>
    <t>middle missions</t>
  </si>
  <si>
    <t>long missions</t>
  </si>
  <si>
    <t xml:space="preserve">Max. possible 
with current solution </t>
  </si>
  <si>
    <t>Missions covered short</t>
  </si>
  <si>
    <t>Missions covered middle</t>
  </si>
  <si>
    <t>Missions covered long</t>
  </si>
  <si>
    <t>short Missions</t>
  </si>
  <si>
    <t xml:space="preserve">middle Missions </t>
  </si>
  <si>
    <t>long Missions</t>
  </si>
  <si>
    <t>[0-10]</t>
  </si>
  <si>
    <t>[10-40]</t>
  </si>
  <si>
    <t>[40…]</t>
  </si>
  <si>
    <t xml:space="preserve">middle </t>
  </si>
  <si>
    <t>long</t>
  </si>
  <si>
    <t>=</t>
  </si>
  <si>
    <t>hours per day</t>
  </si>
  <si>
    <t>Max. possible missions</t>
  </si>
  <si>
    <t>distance</t>
  </si>
  <si>
    <t xml:space="preserve">Calculation of number of vehicles </t>
  </si>
  <si>
    <t>Optimal Solution</t>
  </si>
  <si>
    <t xml:space="preserve">hours </t>
  </si>
  <si>
    <t>concurrency</t>
  </si>
  <si>
    <t>min no. Vehicles</t>
  </si>
  <si>
    <t>missions per day</t>
  </si>
  <si>
    <t>Effective time (time budget)</t>
  </si>
  <si>
    <t xml:space="preserve">short trip </t>
  </si>
  <si>
    <t>middle trip</t>
  </si>
  <si>
    <t xml:space="preserve">long trip </t>
  </si>
  <si>
    <t>Trip duration</t>
  </si>
  <si>
    <t>not relevant to the model</t>
  </si>
  <si>
    <t>Bounds [km]</t>
  </si>
  <si>
    <t>Distance factor</t>
  </si>
  <si>
    <t xml:space="preserve">short </t>
  </si>
  <si>
    <t>Missions per vehicle per day not part of the optimization (just for the plots)</t>
  </si>
  <si>
    <t>no_vehicles</t>
  </si>
  <si>
    <t>no_missions</t>
  </si>
  <si>
    <t>Summary: Fleet Size and Composition</t>
  </si>
  <si>
    <t xml:space="preserve">Cost Analysis </t>
  </si>
  <si>
    <t>Triangle Analysis</t>
  </si>
  <si>
    <t>Excel Solver Sheet</t>
  </si>
  <si>
    <t xml:space="preserve">No. missions </t>
  </si>
  <si>
    <t>Avg. distance single leg [km]</t>
  </si>
  <si>
    <t>Status quo</t>
  </si>
  <si>
    <t>Type</t>
  </si>
  <si>
    <t xml:space="preserve">No vehicles </t>
  </si>
  <si>
    <t xml:space="preserve">max. </t>
  </si>
  <si>
    <t>number of drivers</t>
  </si>
  <si>
    <t>Cost for Outsourcing</t>
  </si>
  <si>
    <t>Cost for Taxi Services</t>
  </si>
  <si>
    <t>No drivers</t>
  </si>
  <si>
    <t>days</t>
  </si>
  <si>
    <t>Vehicles (Buy - Resale Value)</t>
  </si>
  <si>
    <t xml:space="preserve">Status quo </t>
  </si>
  <si>
    <t>Savings [%]</t>
  </si>
  <si>
    <t>Cost for Fuel + M&amp;R</t>
  </si>
  <si>
    <t xml:space="preserve">Fixed Cost per Vehicle </t>
  </si>
  <si>
    <t>Variable Costs per Vehicle</t>
  </si>
  <si>
    <t>Labour (core drive)</t>
  </si>
  <si>
    <t>Asset</t>
  </si>
  <si>
    <t>Extremes</t>
  </si>
  <si>
    <t>Total Cost (per day)</t>
  </si>
  <si>
    <t>total cost (per day)</t>
  </si>
  <si>
    <t>Status quo (per day)</t>
  </si>
  <si>
    <t>Min. to meet demand (per day)</t>
  </si>
  <si>
    <t>Fuel + M&amp;R</t>
  </si>
  <si>
    <t>Trips</t>
  </si>
  <si>
    <t>Distance Constraints</t>
  </si>
  <si>
    <t>Time Constraints</t>
  </si>
  <si>
    <t xml:space="preserve">km free and </t>
  </si>
  <si>
    <t>Input Data (full time period)</t>
  </si>
  <si>
    <t>Input Data (single day)</t>
  </si>
  <si>
    <t>Input to Model (single day, correction)</t>
  </si>
  <si>
    <t>Time period for savings plots</t>
  </si>
  <si>
    <t>total cost (per plot period)</t>
  </si>
  <si>
    <t>Status quo (per plot period)</t>
  </si>
  <si>
    <t>Min. to meet demand (per plot period)</t>
  </si>
  <si>
    <t>Savings potential (plot period)</t>
  </si>
  <si>
    <t xml:space="preserve">total no. of missions: </t>
  </si>
  <si>
    <t>Operational Mix (per day)</t>
  </si>
  <si>
    <t>Fix Costs (per day)</t>
  </si>
  <si>
    <t>Variable Costs (per day)</t>
  </si>
  <si>
    <t>s</t>
  </si>
  <si>
    <t>only additional information (not for the model)</t>
  </si>
  <si>
    <t xml:space="preserve">Taxi Trips </t>
  </si>
  <si>
    <t>trips</t>
  </si>
  <si>
    <t xml:space="preserve">Time period for cost input </t>
  </si>
  <si>
    <t xml:space="preserve">Currency 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</si>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</sst>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3" borderId="3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0" xfId="0" applyFill="1"/>
    <xf numFmtId="0" fontId="1" fillId="5" borderId="11" xfId="0" applyFont="1" applyFill="1" applyBorder="1"/>
    <xf numFmtId="1" fontId="0" fillId="5" borderId="0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1" fillId="5" borderId="0" xfId="0" applyFont="1" applyFill="1"/>
    <xf numFmtId="0" fontId="0" fillId="5" borderId="3" xfId="0" applyFill="1" applyBorder="1"/>
    <xf numFmtId="0" fontId="0" fillId="5" borderId="1" xfId="0" applyFill="1" applyBorder="1"/>
    <xf numFmtId="0" fontId="2" fillId="5" borderId="0" xfId="0" applyFont="1" applyFill="1"/>
    <xf numFmtId="0" fontId="3" fillId="5" borderId="0" xfId="0" applyFont="1" applyFill="1"/>
    <xf numFmtId="0" fontId="2" fillId="5" borderId="0" xfId="0" applyFont="1" applyFill="1" applyBorder="1"/>
    <xf numFmtId="2" fontId="0" fillId="5" borderId="0" xfId="0" applyNumberFormat="1" applyFill="1"/>
    <xf numFmtId="0" fontId="0" fillId="6" borderId="0" xfId="0" applyFill="1"/>
    <xf numFmtId="0" fontId="4" fillId="6" borderId="0" xfId="0" applyFont="1" applyFill="1"/>
    <xf numFmtId="0" fontId="5" fillId="5" borderId="0" xfId="0" applyFont="1" applyFill="1"/>
    <xf numFmtId="1" fontId="0" fillId="5" borderId="0" xfId="0" applyNumberFormat="1" applyFill="1"/>
    <xf numFmtId="0" fontId="0" fillId="4" borderId="14" xfId="0" applyFill="1" applyBorder="1"/>
    <xf numFmtId="1" fontId="0" fillId="4" borderId="13" xfId="0" applyNumberFormat="1" applyFill="1" applyBorder="1" applyAlignment="1">
      <alignment wrapText="1"/>
    </xf>
    <xf numFmtId="0" fontId="0" fillId="4" borderId="13" xfId="0" applyFill="1" applyBorder="1"/>
    <xf numFmtId="1" fontId="0" fillId="4" borderId="20" xfId="0" applyNumberFormat="1" applyFill="1" applyBorder="1"/>
    <xf numFmtId="0" fontId="0" fillId="4" borderId="15" xfId="0" applyFill="1" applyBorder="1"/>
    <xf numFmtId="1" fontId="0" fillId="4" borderId="0" xfId="0" applyNumberFormat="1" applyFill="1" applyBorder="1" applyAlignment="1">
      <alignment wrapText="1"/>
    </xf>
    <xf numFmtId="0" fontId="0" fillId="4" borderId="0" xfId="0" applyFill="1" applyBorder="1"/>
    <xf numFmtId="1" fontId="0" fillId="4" borderId="21" xfId="0" applyNumberFormat="1" applyFill="1" applyBorder="1"/>
    <xf numFmtId="1" fontId="0" fillId="4" borderId="0" xfId="0" applyNumberFormat="1" applyFill="1" applyBorder="1"/>
    <xf numFmtId="0" fontId="0" fillId="4" borderId="16" xfId="0" applyFill="1" applyBorder="1"/>
    <xf numFmtId="1" fontId="0" fillId="4" borderId="22" xfId="0" applyNumberFormat="1" applyFill="1" applyBorder="1"/>
    <xf numFmtId="1" fontId="0" fillId="4" borderId="23" xfId="0" applyNumberFormat="1" applyFill="1" applyBorder="1"/>
    <xf numFmtId="2" fontId="0" fillId="4" borderId="0" xfId="0" applyNumberFormat="1" applyFill="1" applyBorder="1"/>
    <xf numFmtId="2" fontId="0" fillId="4" borderId="22" xfId="0" applyNumberFormat="1" applyFill="1" applyBorder="1"/>
    <xf numFmtId="2" fontId="0" fillId="4" borderId="21" xfId="0" applyNumberFormat="1" applyFill="1" applyBorder="1"/>
    <xf numFmtId="2" fontId="0" fillId="4" borderId="23" xfId="0" applyNumberFormat="1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4" borderId="3" xfId="0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0" fontId="0" fillId="5" borderId="28" xfId="0" applyFill="1" applyBorder="1"/>
    <xf numFmtId="1" fontId="0" fillId="4" borderId="1" xfId="0" applyNumberFormat="1" applyFill="1" applyBorder="1"/>
    <xf numFmtId="164" fontId="0" fillId="4" borderId="1" xfId="0" applyNumberFormat="1" applyFill="1" applyBorder="1"/>
    <xf numFmtId="0" fontId="0" fillId="5" borderId="29" xfId="0" applyFill="1" applyBorder="1"/>
    <xf numFmtId="0" fontId="0" fillId="4" borderId="30" xfId="0" applyFill="1" applyBorder="1"/>
    <xf numFmtId="0" fontId="0" fillId="4" borderId="31" xfId="0" applyFill="1" applyBorder="1"/>
    <xf numFmtId="2" fontId="0" fillId="5" borderId="4" xfId="0" applyNumberFormat="1" applyFill="1" applyBorder="1" applyAlignment="1">
      <alignment wrapText="1"/>
    </xf>
    <xf numFmtId="2" fontId="0" fillId="5" borderId="12" xfId="0" applyNumberFormat="1" applyFill="1" applyBorder="1"/>
    <xf numFmtId="1" fontId="0" fillId="5" borderId="1" xfId="0" applyNumberFormat="1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35" xfId="0" applyFill="1" applyBorder="1"/>
    <xf numFmtId="0" fontId="1" fillId="5" borderId="24" xfId="0" applyFont="1" applyFill="1" applyBorder="1"/>
    <xf numFmtId="0" fontId="0" fillId="5" borderId="37" xfId="0" applyFill="1" applyBorder="1"/>
    <xf numFmtId="0" fontId="0" fillId="5" borderId="10" xfId="0" applyFill="1" applyBorder="1"/>
    <xf numFmtId="0" fontId="0" fillId="4" borderId="29" xfId="0" applyFill="1" applyBorder="1"/>
    <xf numFmtId="1" fontId="0" fillId="4" borderId="3" xfId="0" applyNumberFormat="1" applyFill="1" applyBorder="1"/>
    <xf numFmtId="0" fontId="1" fillId="5" borderId="25" xfId="0" applyFont="1" applyFill="1" applyBorder="1"/>
    <xf numFmtId="0" fontId="1" fillId="5" borderId="26" xfId="0" applyFont="1" applyFill="1" applyBorder="1"/>
    <xf numFmtId="0" fontId="6" fillId="5" borderId="0" xfId="0" applyFont="1" applyFill="1"/>
    <xf numFmtId="0" fontId="0" fillId="4" borderId="1" xfId="0" applyNumberFormat="1" applyFill="1" applyBorder="1"/>
    <xf numFmtId="0" fontId="0" fillId="7" borderId="1" xfId="0" applyFill="1" applyBorder="1"/>
    <xf numFmtId="2" fontId="0" fillId="8" borderId="3" xfId="0" applyNumberFormat="1" applyFill="1" applyBorder="1"/>
    <xf numFmtId="1" fontId="0" fillId="8" borderId="1" xfId="0" applyNumberFormat="1" applyFill="1" applyBorder="1"/>
    <xf numFmtId="0" fontId="0" fillId="8" borderId="1" xfId="0" applyFill="1" applyBorder="1"/>
    <xf numFmtId="0" fontId="0" fillId="8" borderId="3" xfId="0" applyFill="1" applyBorder="1"/>
    <xf numFmtId="0" fontId="0" fillId="8" borderId="36" xfId="0" applyFill="1" applyBorder="1"/>
    <xf numFmtId="0" fontId="0" fillId="8" borderId="30" xfId="0" applyFill="1" applyBorder="1"/>
    <xf numFmtId="0" fontId="0" fillId="8" borderId="31" xfId="0" applyFill="1" applyBorder="1"/>
    <xf numFmtId="0" fontId="0" fillId="8" borderId="29" xfId="0" applyFill="1" applyBorder="1"/>
    <xf numFmtId="0" fontId="3" fillId="8" borderId="3" xfId="0" applyFont="1" applyFill="1" applyBorder="1"/>
    <xf numFmtId="0" fontId="3" fillId="8" borderId="36" xfId="0" applyFont="1" applyFill="1" applyBorder="1"/>
    <xf numFmtId="2" fontId="0" fillId="7" borderId="0" xfId="0" applyNumberFormat="1" applyFill="1"/>
    <xf numFmtId="1" fontId="0" fillId="7" borderId="0" xfId="0" applyNumberFormat="1" applyFill="1"/>
    <xf numFmtId="0" fontId="0" fillId="7" borderId="0" xfId="0" applyFill="1"/>
    <xf numFmtId="0" fontId="1" fillId="7" borderId="11" xfId="0" applyFont="1" applyFill="1" applyBorder="1"/>
    <xf numFmtId="0" fontId="1" fillId="7" borderId="7" xfId="0" applyFont="1" applyFill="1" applyBorder="1"/>
    <xf numFmtId="0" fontId="0" fillId="7" borderId="7" xfId="0" applyFill="1" applyBorder="1"/>
    <xf numFmtId="0" fontId="1" fillId="7" borderId="5" xfId="0" applyFont="1" applyFill="1" applyBorder="1"/>
    <xf numFmtId="0" fontId="0" fillId="7" borderId="9" xfId="0" applyFill="1" applyBorder="1"/>
    <xf numFmtId="0" fontId="0" fillId="7" borderId="3" xfId="0" applyFill="1" applyBorder="1"/>
    <xf numFmtId="0" fontId="0" fillId="7" borderId="15" xfId="0" applyFill="1" applyBorder="1"/>
    <xf numFmtId="1" fontId="0" fillId="7" borderId="0" xfId="0" applyNumberFormat="1" applyFill="1" applyBorder="1"/>
    <xf numFmtId="2" fontId="0" fillId="7" borderId="21" xfId="0" applyNumberFormat="1" applyFill="1" applyBorder="1"/>
    <xf numFmtId="0" fontId="0" fillId="7" borderId="16" xfId="0" applyFill="1" applyBorder="1"/>
    <xf numFmtId="1" fontId="0" fillId="7" borderId="22" xfId="0" applyNumberFormat="1" applyFill="1" applyBorder="1"/>
    <xf numFmtId="2" fontId="0" fillId="7" borderId="23" xfId="0" applyNumberFormat="1" applyFill="1" applyBorder="1"/>
    <xf numFmtId="0" fontId="0" fillId="7" borderId="14" xfId="0" applyFill="1" applyBorder="1"/>
    <xf numFmtId="0" fontId="1" fillId="7" borderId="14" xfId="0" applyFont="1" applyFill="1" applyBorder="1"/>
    <xf numFmtId="0" fontId="1" fillId="7" borderId="17" xfId="0" applyFont="1" applyFill="1" applyBorder="1"/>
    <xf numFmtId="0" fontId="1" fillId="7" borderId="2" xfId="0" applyFont="1" applyFill="1" applyBorder="1"/>
    <xf numFmtId="0" fontId="0" fillId="7" borderId="11" xfId="0" applyFill="1" applyBorder="1"/>
    <xf numFmtId="0" fontId="1" fillId="7" borderId="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2" fontId="0" fillId="7" borderId="15" xfId="0" applyNumberFormat="1" applyFont="1" applyFill="1" applyBorder="1"/>
    <xf numFmtId="0" fontId="0" fillId="7" borderId="18" xfId="0" applyFill="1" applyBorder="1"/>
    <xf numFmtId="0" fontId="0" fillId="7" borderId="0" xfId="0" applyFill="1" applyBorder="1"/>
    <xf numFmtId="1" fontId="0" fillId="7" borderId="21" xfId="0" applyNumberFormat="1" applyFill="1" applyBorder="1"/>
    <xf numFmtId="2" fontId="0" fillId="7" borderId="18" xfId="0" applyNumberFormat="1" applyFill="1" applyBorder="1"/>
    <xf numFmtId="2" fontId="0" fillId="7" borderId="16" xfId="0" applyNumberFormat="1" applyFont="1" applyFill="1" applyBorder="1"/>
    <xf numFmtId="0" fontId="0" fillId="7" borderId="19" xfId="0" applyFill="1" applyBorder="1"/>
    <xf numFmtId="0" fontId="0" fillId="7" borderId="22" xfId="0" applyFill="1" applyBorder="1"/>
    <xf numFmtId="1" fontId="0" fillId="7" borderId="23" xfId="0" applyNumberFormat="1" applyFill="1" applyBorder="1"/>
    <xf numFmtId="2" fontId="0" fillId="7" borderId="19" xfId="0" applyNumberFormat="1" applyFill="1" applyBorder="1"/>
    <xf numFmtId="0" fontId="1" fillId="7" borderId="16" xfId="0" applyFont="1" applyFill="1" applyBorder="1"/>
    <xf numFmtId="1" fontId="0" fillId="7" borderId="16" xfId="0" applyNumberFormat="1" applyFill="1" applyBorder="1"/>
    <xf numFmtId="1" fontId="0" fillId="7" borderId="19" xfId="0" applyNumberFormat="1" applyFill="1" applyBorder="1"/>
    <xf numFmtId="2" fontId="0" fillId="7" borderId="11" xfId="0" applyNumberFormat="1" applyFont="1" applyFill="1" applyBorder="1"/>
    <xf numFmtId="0" fontId="0" fillId="7" borderId="2" xfId="0" applyFill="1" applyBorder="1"/>
    <xf numFmtId="0" fontId="0" fillId="7" borderId="4" xfId="0" applyFill="1" applyBorder="1"/>
    <xf numFmtId="2" fontId="0" fillId="7" borderId="2" xfId="0" applyNumberFormat="1" applyFill="1" applyBorder="1"/>
    <xf numFmtId="2" fontId="0" fillId="7" borderId="12" xfId="0" applyNumberFormat="1" applyFill="1" applyBorder="1"/>
    <xf numFmtId="9" fontId="0" fillId="7" borderId="15" xfId="1" applyFont="1" applyFill="1" applyBorder="1"/>
    <xf numFmtId="9" fontId="0" fillId="7" borderId="16" xfId="1" applyFont="1" applyFill="1" applyBorder="1"/>
    <xf numFmtId="1" fontId="0" fillId="5" borderId="0" xfId="0" applyNumberFormat="1" applyFill="1" applyAlignment="1">
      <alignment horizontal="left"/>
    </xf>
    <xf numFmtId="0" fontId="1" fillId="7" borderId="4" xfId="0" applyFont="1" applyFill="1" applyBorder="1"/>
    <xf numFmtId="0" fontId="1" fillId="7" borderId="12" xfId="0" applyFont="1" applyFill="1" applyBorder="1"/>
    <xf numFmtId="2" fontId="0" fillId="8" borderId="1" xfId="0" applyNumberFormat="1" applyFill="1" applyBorder="1"/>
    <xf numFmtId="2" fontId="0" fillId="7" borderId="1" xfId="0" applyNumberFormat="1" applyFill="1" applyBorder="1"/>
    <xf numFmtId="0" fontId="8" fillId="5" borderId="0" xfId="0" applyFont="1" applyFill="1"/>
    <xf numFmtId="0" fontId="0" fillId="9" borderId="0" xfId="0" applyFill="1"/>
    <xf numFmtId="1" fontId="0" fillId="9" borderId="0" xfId="0" applyNumberFormat="1" applyFill="1"/>
    <xf numFmtId="2" fontId="1" fillId="7" borderId="32" xfId="0" applyNumberFormat="1" applyFont="1" applyFill="1" applyBorder="1"/>
    <xf numFmtId="2" fontId="1" fillId="7" borderId="8" xfId="0" applyNumberFormat="1" applyFont="1" applyFill="1" applyBorder="1"/>
    <xf numFmtId="2" fontId="0" fillId="7" borderId="8" xfId="0" applyNumberFormat="1" applyFill="1" applyBorder="1"/>
    <xf numFmtId="2" fontId="0" fillId="7" borderId="10" xfId="0" applyNumberFormat="1" applyFill="1" applyBorder="1"/>
    <xf numFmtId="2" fontId="1" fillId="7" borderId="6" xfId="0" applyNumberFormat="1" applyFont="1" applyFill="1" applyBorder="1"/>
    <xf numFmtId="2" fontId="1" fillId="7" borderId="38" xfId="0" applyNumberFormat="1" applyFont="1" applyFill="1" applyBorder="1"/>
    <xf numFmtId="2" fontId="1" fillId="7" borderId="0" xfId="0" applyNumberFormat="1" applyFont="1" applyFill="1" applyBorder="1"/>
    <xf numFmtId="2" fontId="0" fillId="7" borderId="0" xfId="0" applyNumberFormat="1" applyFill="1" applyBorder="1"/>
    <xf numFmtId="2" fontId="0" fillId="7" borderId="39" xfId="0" applyNumberFormat="1" applyFill="1" applyBorder="1"/>
    <xf numFmtId="2" fontId="1" fillId="7" borderId="40" xfId="0" applyNumberFormat="1" applyFont="1" applyFill="1" applyBorder="1"/>
    <xf numFmtId="0" fontId="0" fillId="5" borderId="41" xfId="0" applyFont="1" applyFill="1" applyBorder="1"/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70C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 Missions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Dashboard!$G$25</c:f>
              <c:strCache>
                <c:ptCount val="1"/>
                <c:pt idx="0">
                  <c:v>Missions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89-4042-8911-61B9FB09FB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89-4042-8911-61B9FB09FB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89-4042-8911-61B9FB09FB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 Trips</c:v>
                </c:pt>
              </c:strCache>
            </c:strRef>
          </c:cat>
          <c:val>
            <c:numRef>
              <c:f>Dashboard!$G$26:$G$28</c:f>
              <c:numCache>
                <c:formatCode>0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9-4B5D-A9E5-7D51ABDC37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Comparison: Potential Cost</a:t>
            </a:r>
            <a:r>
              <a:rPr lang="en-US" baseline="0"/>
              <a:t> Optimization (Plot Period)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Savings Opportunity'!$A$25</c:f>
              <c:strCache>
                <c:ptCount val="1"/>
                <c:pt idx="0">
                  <c:v>Vehicles (Buy - Resale Value)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Opportunity'!$B$25:$C$25</c:f>
              <c:numCache>
                <c:formatCode>0.00</c:formatCode>
                <c:ptCount val="2"/>
                <c:pt idx="0">
                  <c:v>128693.33333333299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2-4051-8A9F-8399AA197922}"/>
            </c:ext>
          </c:extLst>
        </c:ser>
        <c:ser>
          <c:idx val="1"/>
          <c:order val="1"/>
          <c:tx>
            <c:strRef>
              <c:f>'Cost Savings Opportunity'!$A$26</c:f>
              <c:strCache>
                <c:ptCount val="1"/>
                <c:pt idx="0">
                  <c:v>Technology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Opportunity'!$B$26:$C$26</c:f>
              <c:numCache>
                <c:formatCode>0.00</c:formatCode>
                <c:ptCount val="2"/>
                <c:pt idx="0">
                  <c:v>45491.366666666661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2-4051-8A9F-8399AA197922}"/>
            </c:ext>
          </c:extLst>
        </c:ser>
        <c:ser>
          <c:idx val="2"/>
          <c:order val="2"/>
          <c:tx>
            <c:strRef>
              <c:f>'Cost Savings Opportunity'!$A$27</c:f>
              <c:strCache>
                <c:ptCount val="1"/>
                <c:pt idx="0">
                  <c:v>Salary (core drive)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Opportunity'!$B$27:$C$27</c:f>
              <c:numCache>
                <c:formatCode>0.00</c:formatCode>
                <c:ptCount val="2"/>
                <c:pt idx="0">
                  <c:v>156950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051-8A9F-8399AA197922}"/>
            </c:ext>
          </c:extLst>
        </c:ser>
        <c:ser>
          <c:idx val="3"/>
          <c:order val="3"/>
          <c:tx>
            <c:strRef>
              <c:f>'Cost Savings Opportunity'!$A$28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Opportunity'!$B$28:$C$28</c:f>
              <c:numCache>
                <c:formatCode>0.00</c:formatCode>
                <c:ptCount val="2"/>
                <c:pt idx="0">
                  <c:v>33586.775000000001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2-4051-8A9F-8399AA197922}"/>
            </c:ext>
          </c:extLst>
        </c:ser>
        <c:ser>
          <c:idx val="4"/>
          <c:order val="4"/>
          <c:tx>
            <c:strRef>
              <c:f>'Cost Savings Opportunity'!$A$29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Opportunity'!$B$29:$C$29</c:f>
              <c:numCache>
                <c:formatCode>0.00</c:formatCode>
                <c:ptCount val="2"/>
                <c:pt idx="0">
                  <c:v>3316.9249999999997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B2-4051-8A9F-8399AA197922}"/>
            </c:ext>
          </c:extLst>
        </c:ser>
        <c:ser>
          <c:idx val="6"/>
          <c:order val="6"/>
          <c:tx>
            <c:strRef>
              <c:f>'Cost Savings Opportunity'!$A$31</c:f>
              <c:strCache>
                <c:ptCount val="1"/>
                <c:pt idx="0">
                  <c:v>Outsourced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Opportunity'!$B$31:$C$31</c:f>
              <c:numCache>
                <c:formatCode>0.00</c:formatCode>
                <c:ptCount val="2"/>
                <c:pt idx="0">
                  <c:v>0</c:v>
                </c:pt>
                <c:pt idx="1">
                  <c:v>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B2-4051-8A9F-8399AA197922}"/>
            </c:ext>
          </c:extLst>
        </c:ser>
        <c:ser>
          <c:idx val="7"/>
          <c:order val="7"/>
          <c:tx>
            <c:strRef>
              <c:f>'Cost Savings Opportunity'!$A$32</c:f>
              <c:strCache>
                <c:ptCount val="1"/>
                <c:pt idx="0">
                  <c:v>Taxi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Opportunity'!$B$32:$C$32</c:f>
              <c:numCache>
                <c:formatCode>0.00</c:formatCode>
                <c:ptCount val="2"/>
                <c:pt idx="0">
                  <c:v>111081.47499999996</c:v>
                </c:pt>
                <c:pt idx="1">
                  <c:v>41310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B2-4051-8A9F-8399AA197922}"/>
            </c:ext>
          </c:extLst>
        </c:ser>
        <c:ser>
          <c:idx val="8"/>
          <c:order val="8"/>
          <c:tx>
            <c:strRef>
              <c:f>'Cost Savings Opportunity'!$A$33</c:f>
              <c:strCache>
                <c:ptCount val="1"/>
                <c:pt idx="0">
                  <c:v>Fuel + M&amp;R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Opportunity'!$B$24:$C$24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Opportunity'!$B$33:$C$33</c:f>
              <c:numCache>
                <c:formatCode>0.00</c:formatCode>
                <c:ptCount val="2"/>
                <c:pt idx="0">
                  <c:v>27379.924999999999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B2-4051-8A9F-8399AA19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4255864"/>
        <c:axId val="107425783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'Cost Savings Opportunity'!$A$30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'Cost Savings Opportunity'!$B$24:$C$24</c15:sqref>
                        </c15:formulaRef>
                      </c:ext>
                    </c:extLst>
                    <c:strCache>
                      <c:ptCount val="2"/>
                      <c:pt idx="0">
                        <c:v>Status quo (per plot period)</c:v>
                      </c:pt>
                      <c:pt idx="1">
                        <c:v>Min. to meet demand (per plot period)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'Cost Savings Opportunity'!$B$30:$C$30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0B2-4051-8A9F-8399AA197922}"/>
                  </c:ext>
                </c:extLst>
              </c15:ser>
            </c15:filteredBarSeries>
          </c:ext>
        </c:extLst>
      </c:barChart>
      <c:catAx>
        <c:axId val="107425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57832"/>
        <c:crosses val="autoZero"/>
        <c:auto val="1"/>
        <c:lblAlgn val="ctr"/>
        <c:lblOffset val="100"/>
        <c:noMultiLvlLbl val="0"/>
      </c:catAx>
      <c:valAx>
        <c:axId val="107425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5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 (Plot Period)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'Triangle Analysis'!$M$4</c:f>
              <c:strCache>
                <c:ptCount val="1"/>
                <c:pt idx="0">
                  <c:v>total cost (per plot period)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'Triangle Analysis'!$B$6:$B$10</c:f>
              <c:strCache>
                <c:ptCount val="5"/>
                <c:pt idx="0">
                  <c:v>Core-Drive</c:v>
                </c:pt>
                <c:pt idx="1">
                  <c:v>Outsourced</c:v>
                </c:pt>
                <c:pt idx="2">
                  <c:v>Taxi </c:v>
                </c:pt>
                <c:pt idx="3">
                  <c:v>Status quo</c:v>
                </c:pt>
                <c:pt idx="4">
                  <c:v>Optimal Solution</c:v>
                </c:pt>
              </c:strCache>
            </c:strRef>
          </c:cat>
          <c:val>
            <c:numRef>
              <c:f>'Triangle Analysis'!$M$6:$M$10</c:f>
              <c:numCache>
                <c:formatCode>0.00</c:formatCode>
                <c:ptCount val="5"/>
                <c:pt idx="0">
                  <c:v>310480.46270833333</c:v>
                </c:pt>
                <c:pt idx="1">
                  <c:v>170000</c:v>
                </c:pt>
                <c:pt idx="2">
                  <c:v>210629.99999999997</c:v>
                </c:pt>
                <c:pt idx="3">
                  <c:v>506499.79999999958</c:v>
                </c:pt>
                <c:pt idx="4">
                  <c:v>171310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B-4B3D-8AA0-48728BB80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203120"/>
        <c:axId val="388203776"/>
      </c:barChart>
      <c:catAx>
        <c:axId val="38820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03776"/>
        <c:crosses val="autoZero"/>
        <c:auto val="1"/>
        <c:lblAlgn val="ctr"/>
        <c:lblOffset val="100"/>
        <c:noMultiLvlLbl val="0"/>
      </c:catAx>
      <c:valAx>
        <c:axId val="3882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vehicles &amp; drivers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'Triangle Analysis'!$J$4</c:f>
              <c:strCache>
                <c:ptCount val="1"/>
                <c:pt idx="0">
                  <c:v>number of drivers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'Triangle Analysis'!$B$6:$B$10</c:f>
              <c:strCache>
                <c:ptCount val="5"/>
                <c:pt idx="0">
                  <c:v>Core-Drive</c:v>
                </c:pt>
                <c:pt idx="1">
                  <c:v>Outsourced</c:v>
                </c:pt>
                <c:pt idx="2">
                  <c:v>Taxi </c:v>
                </c:pt>
                <c:pt idx="3">
                  <c:v>Status quo</c:v>
                </c:pt>
                <c:pt idx="4">
                  <c:v>Optimal Solution</c:v>
                </c:pt>
              </c:strCache>
            </c:strRef>
          </c:cat>
          <c:val>
            <c:numRef>
              <c:f>'Triangle Analysis'!$J$6:$J$10</c:f>
              <c:numCache>
                <c:formatCode>General</c:formatCode>
                <c:ptCount val="5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 formatCode="0">
                  <c:v>20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A12-A79A-CDF8CB05D109}"/>
            </c:ext>
          </c:extLst>
        </c:ser>
        <c:ser>
          <c:idx val="1"/>
          <c:order val="1"/>
          <c:tx>
            <c:strRef>
              <c:f>'Triangle Analysis'!$I$4</c:f>
              <c:strCache>
                <c:ptCount val="1"/>
                <c:pt idx="0">
                  <c:v>number of vehicles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'Triangle Analysis'!$B$6:$B$10</c:f>
              <c:strCache>
                <c:ptCount val="5"/>
                <c:pt idx="0">
                  <c:v>Core-Drive</c:v>
                </c:pt>
                <c:pt idx="1">
                  <c:v>Outsourced</c:v>
                </c:pt>
                <c:pt idx="2">
                  <c:v>Taxi </c:v>
                </c:pt>
                <c:pt idx="3">
                  <c:v>Status quo</c:v>
                </c:pt>
                <c:pt idx="4">
                  <c:v>Optimal Solution</c:v>
                </c:pt>
              </c:strCache>
            </c:strRef>
          </c:cat>
          <c:val>
            <c:numRef>
              <c:f>'Triangle Analysis'!$I$6:$I$10</c:f>
              <c:numCache>
                <c:formatCode>General</c:formatCode>
                <c:ptCount val="5"/>
                <c:pt idx="0">
                  <c:v>17</c:v>
                </c:pt>
                <c:pt idx="1">
                  <c:v>17</c:v>
                </c:pt>
                <c:pt idx="2">
                  <c:v>0</c:v>
                </c:pt>
                <c:pt idx="3" formatCode="0">
                  <c:v>57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E-44E7-BC1B-F9CAF328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256352"/>
        <c:axId val="304254384"/>
      </c:barChart>
      <c:catAx>
        <c:axId val="3042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54384"/>
        <c:crosses val="autoZero"/>
        <c:auto val="1"/>
        <c:lblAlgn val="ctr"/>
        <c:lblOffset val="100"/>
        <c:noMultiLvlLbl val="0"/>
      </c:catAx>
      <c:valAx>
        <c:axId val="30425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5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Analysis: 3 Extremes (plot Period)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'Triangle Analysis'!$B$6:$B$8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</c:v>
                </c:pt>
              </c:strCache>
            </c:strRef>
          </c:cat>
          <c:val>
            <c:numRef>
              <c:f>'Triangle Analysis'!$M$6:$M$8</c:f>
              <c:numCache>
                <c:formatCode>0.00</c:formatCode>
                <c:ptCount val="3"/>
                <c:pt idx="0">
                  <c:v>310480.46270833333</c:v>
                </c:pt>
                <c:pt idx="1">
                  <c:v>170000</c:v>
                </c:pt>
                <c:pt idx="2">
                  <c:v>210629.99999999997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B-4415-B4DF-D15DC6CA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421520"/>
        <c:axId val="1021418240"/>
      </c:radarChart>
      <c:catAx>
        <c:axId val="102142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18240"/>
        <c:crosses val="autoZero"/>
        <c:auto val="1"/>
        <c:lblAlgn val="ctr"/>
        <c:lblOffset val="100"/>
        <c:noMultiLvlLbl val="0"/>
      </c:catAx>
      <c:valAx>
        <c:axId val="102141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2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 Distance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Dashboard!$H$25</c:f>
              <c:strCache>
                <c:ptCount val="1"/>
                <c:pt idx="0">
                  <c:v>Distance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71E-4555-BB8B-4F8A6C269E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71E-4555-BB8B-4F8A6C269E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71E-4555-BB8B-4F8A6C269EF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 Trips</c:v>
                </c:pt>
              </c:strCache>
            </c:strRef>
          </c:cat>
          <c:val>
            <c:numRef>
              <c:f>Dashboard!$H$26:$H$28</c:f>
              <c:numCache>
                <c:formatCode>0.00</c:formatCode>
                <c:ptCount val="3"/>
                <c:pt idx="0">
                  <c:v>0</c:v>
                </c:pt>
                <c:pt idx="1">
                  <c:v>1545</c:v>
                </c:pt>
                <c:pt idx="2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1E-4555-BB8B-4F8A6C269EF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per km (single trip)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988753607032323E-2"/>
          <c:y val="0.21757022514576188"/>
          <c:w val="0.71897894131786588"/>
          <c:h val="0.6641813783806922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Dashboard!$E$6</c:f>
              <c:strCache>
                <c:ptCount val="1"/>
                <c:pt idx="0">
                  <c:v>Core-Drive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Dashboard!$E$7:$E$19</c:f>
              <c:numCache>
                <c:formatCode>0.00</c:formatCode>
                <c:ptCount val="13"/>
                <c:pt idx="0">
                  <c:v>49.310286805555556</c:v>
                </c:pt>
                <c:pt idx="1">
                  <c:v>24.715143402777777</c:v>
                </c:pt>
                <c:pt idx="2">
                  <c:v>9.9580573611111109</c:v>
                </c:pt>
                <c:pt idx="3">
                  <c:v>5.0390286805555551</c:v>
                </c:pt>
                <c:pt idx="4">
                  <c:v>2.5795143402777776</c:v>
                </c:pt>
                <c:pt idx="5">
                  <c:v>1.7596762268518518</c:v>
                </c:pt>
                <c:pt idx="6">
                  <c:v>1.3497571701388889</c:v>
                </c:pt>
                <c:pt idx="7">
                  <c:v>1.1038057361111109</c:v>
                </c:pt>
                <c:pt idx="8">
                  <c:v>0.93983811342592583</c:v>
                </c:pt>
                <c:pt idx="9">
                  <c:v>0.82271838293650801</c:v>
                </c:pt>
                <c:pt idx="10">
                  <c:v>0.73487858506944448</c:v>
                </c:pt>
                <c:pt idx="11">
                  <c:v>0.66655874228395062</c:v>
                </c:pt>
                <c:pt idx="12">
                  <c:v>0.61190286805555549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52-41CD-BD0B-3ADEF4CCD1C2}"/>
            </c:ext>
          </c:extLst>
        </c:ser>
        <c:ser>
          <c:idx val="2"/>
          <c:order val="1"/>
          <c:tx>
            <c:strRef>
              <c:f>Dashboard!$F$6</c:f>
              <c:strCache>
                <c:ptCount val="1"/>
                <c:pt idx="0">
                  <c:v>Outsourced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Dashboard!$F$7:$F$19</c:f>
              <c:numCache>
                <c:formatCode>0.00</c:formatCode>
                <c:ptCount val="13"/>
                <c:pt idx="0">
                  <c:v>33.333333333333336</c:v>
                </c:pt>
                <c:pt idx="1">
                  <c:v>16.666666666666668</c:v>
                </c:pt>
                <c:pt idx="2">
                  <c:v>6.666666666666667</c:v>
                </c:pt>
                <c:pt idx="3">
                  <c:v>3.3333333333333335</c:v>
                </c:pt>
                <c:pt idx="4">
                  <c:v>1.6666666666666667</c:v>
                </c:pt>
                <c:pt idx="5">
                  <c:v>1.1111111111111112</c:v>
                </c:pt>
                <c:pt idx="6">
                  <c:v>0.83333333333333337</c:v>
                </c:pt>
                <c:pt idx="7">
                  <c:v>0.66666666666666663</c:v>
                </c:pt>
                <c:pt idx="8">
                  <c:v>0.55555555555555558</c:v>
                </c:pt>
                <c:pt idx="9">
                  <c:v>0.47619047619047616</c:v>
                </c:pt>
                <c:pt idx="10">
                  <c:v>0.41666666666666669</c:v>
                </c:pt>
                <c:pt idx="11">
                  <c:v>0.37037037037037035</c:v>
                </c:pt>
                <c:pt idx="12">
                  <c:v>0.33333333333333331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52-41CD-BD0B-3ADEF4CCD1C2}"/>
            </c:ext>
          </c:extLst>
        </c:ser>
        <c:ser>
          <c:idx val="3"/>
          <c:order val="2"/>
          <c:tx>
            <c:strRef>
              <c:f>Dashboard!$G$6</c:f>
              <c:strCache>
                <c:ptCount val="1"/>
                <c:pt idx="0">
                  <c:v>Taxi 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Dashboard!$G$7:$G$19</c:f>
              <c:numCache>
                <c:formatCode>0.00</c:formatCode>
                <c:ptCount val="13"/>
                <c:pt idx="0">
                  <c:v>1.2749999999999999</c:v>
                </c:pt>
                <c:pt idx="1">
                  <c:v>1.04125</c:v>
                </c:pt>
                <c:pt idx="2">
                  <c:v>0.72249999999999992</c:v>
                </c:pt>
                <c:pt idx="3">
                  <c:v>0.61624999999999996</c:v>
                </c:pt>
                <c:pt idx="4">
                  <c:v>0.56312499999999999</c:v>
                </c:pt>
                <c:pt idx="5">
                  <c:v>0.54541666666666655</c:v>
                </c:pt>
                <c:pt idx="6">
                  <c:v>0.53656249999999994</c:v>
                </c:pt>
                <c:pt idx="7">
                  <c:v>0.53125</c:v>
                </c:pt>
                <c:pt idx="8">
                  <c:v>0.52770833333333322</c:v>
                </c:pt>
                <c:pt idx="9">
                  <c:v>0.52517857142857138</c:v>
                </c:pt>
                <c:pt idx="10">
                  <c:v>0.52328124999999992</c:v>
                </c:pt>
                <c:pt idx="11">
                  <c:v>0.52180555555555552</c:v>
                </c:pt>
                <c:pt idx="12">
                  <c:v>0.520625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52-41CD-BD0B-3ADEF4CC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141048"/>
        <c:axId val="960140720"/>
      </c:scatterChart>
      <c:valAx>
        <c:axId val="960141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40720"/>
        <c:crosses val="autoZero"/>
        <c:crossBetween val="midCat"/>
        <c:majorUnit val="20"/>
        <c:minorUnit val="5"/>
      </c:valAx>
      <c:valAx>
        <c:axId val="96014072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41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per km (approx. max. possible trips)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Dashboard!$K$6</c:f>
              <c:strCache>
                <c:ptCount val="1"/>
                <c:pt idx="0">
                  <c:v>Core-Drive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Dashboard!$J$7:$J$19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Dashboard!$K$7:$K$19</c:f>
              <c:numCache>
                <c:formatCode>0.00</c:formatCode>
                <c:ptCount val="13"/>
                <c:pt idx="0">
                  <c:v>9.9580573611111109</c:v>
                </c:pt>
                <c:pt idx="1">
                  <c:v>5.0390286805555551</c:v>
                </c:pt>
                <c:pt idx="2">
                  <c:v>2.0876114722222221</c:v>
                </c:pt>
                <c:pt idx="3">
                  <c:v>1.1038057361111109</c:v>
                </c:pt>
                <c:pt idx="4">
                  <c:v>0.61190286805555549</c:v>
                </c:pt>
                <c:pt idx="5">
                  <c:v>0.44793524537037033</c:v>
                </c:pt>
                <c:pt idx="6">
                  <c:v>0.3659514340277778</c:v>
                </c:pt>
                <c:pt idx="7">
                  <c:v>0.31676114722222221</c:v>
                </c:pt>
                <c:pt idx="8">
                  <c:v>0.28396762268518516</c:v>
                </c:pt>
                <c:pt idx="9">
                  <c:v>0.2605436765873016</c:v>
                </c:pt>
                <c:pt idx="10">
                  <c:v>0.24297571701388887</c:v>
                </c:pt>
                <c:pt idx="11">
                  <c:v>0.22931174845679009</c:v>
                </c:pt>
                <c:pt idx="12">
                  <c:v>0.2183805736111111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06-414F-AB56-704B8883F0DC}"/>
            </c:ext>
          </c:extLst>
        </c:ser>
        <c:ser>
          <c:idx val="2"/>
          <c:order val="1"/>
          <c:tx>
            <c:strRef>
              <c:f>Dashboard!$L$6</c:f>
              <c:strCache>
                <c:ptCount val="1"/>
                <c:pt idx="0">
                  <c:v>Outsourced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Dashboard!$J$7:$J$19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Dashboard!$L$7:$L$19</c:f>
              <c:numCache>
                <c:formatCode>0.00</c:formatCode>
                <c:ptCount val="13"/>
                <c:pt idx="0">
                  <c:v>6.666666666666667</c:v>
                </c:pt>
                <c:pt idx="1">
                  <c:v>3.3333333333333335</c:v>
                </c:pt>
                <c:pt idx="2">
                  <c:v>1.3333333333333333</c:v>
                </c:pt>
                <c:pt idx="3">
                  <c:v>0.66666666666666663</c:v>
                </c:pt>
                <c:pt idx="4">
                  <c:v>0.33333333333333331</c:v>
                </c:pt>
                <c:pt idx="5">
                  <c:v>0.22222222222222221</c:v>
                </c:pt>
                <c:pt idx="6">
                  <c:v>0.16666666666666666</c:v>
                </c:pt>
                <c:pt idx="7">
                  <c:v>0.13333333333333333</c:v>
                </c:pt>
                <c:pt idx="8">
                  <c:v>0.1111111111111111</c:v>
                </c:pt>
                <c:pt idx="9">
                  <c:v>9.5238095238095233E-2</c:v>
                </c:pt>
                <c:pt idx="10">
                  <c:v>8.3333333333333329E-2</c:v>
                </c:pt>
                <c:pt idx="11">
                  <c:v>7.407407407407407E-2</c:v>
                </c:pt>
                <c:pt idx="12">
                  <c:v>6.6666666666666666E-2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06-414F-AB56-704B8883F0DC}"/>
            </c:ext>
          </c:extLst>
        </c:ser>
        <c:ser>
          <c:idx val="3"/>
          <c:order val="2"/>
          <c:tx>
            <c:strRef>
              <c:f>Dashboard!$M$6</c:f>
              <c:strCache>
                <c:ptCount val="1"/>
                <c:pt idx="0">
                  <c:v>Taxi 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Dashboard!$J$7:$J$19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Dashboard!$M$7:$M$19</c:f>
              <c:numCache>
                <c:formatCode>0.00</c:formatCode>
                <c:ptCount val="13"/>
                <c:pt idx="0">
                  <c:v>1.2749999999999999</c:v>
                </c:pt>
                <c:pt idx="1">
                  <c:v>1.04125</c:v>
                </c:pt>
                <c:pt idx="2">
                  <c:v>0.72249999999999992</c:v>
                </c:pt>
                <c:pt idx="3">
                  <c:v>0.61624999999999996</c:v>
                </c:pt>
                <c:pt idx="4">
                  <c:v>0.56312499999999999</c:v>
                </c:pt>
                <c:pt idx="5">
                  <c:v>0.54541666666666655</c:v>
                </c:pt>
                <c:pt idx="6">
                  <c:v>0.53656249999999994</c:v>
                </c:pt>
                <c:pt idx="7">
                  <c:v>0.53125</c:v>
                </c:pt>
                <c:pt idx="8">
                  <c:v>0.52770833333333322</c:v>
                </c:pt>
                <c:pt idx="9">
                  <c:v>0.52517857142857138</c:v>
                </c:pt>
                <c:pt idx="10">
                  <c:v>0.52328124999999992</c:v>
                </c:pt>
                <c:pt idx="11">
                  <c:v>0.52180555555555552</c:v>
                </c:pt>
                <c:pt idx="12">
                  <c:v>0.520625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06-414F-AB56-704B8883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39328"/>
        <c:axId val="965542608"/>
      </c:scatterChart>
      <c:valAx>
        <c:axId val="96553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42608"/>
        <c:crosses val="autoZero"/>
        <c:crossBetween val="midCat"/>
        <c:majorUnit val="20"/>
      </c:valAx>
      <c:valAx>
        <c:axId val="965542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39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</a:t>
            </a:r>
            <a:r>
              <a:rPr lang="en-US" baseline="0"/>
              <a:t> Short Missions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81-4146-84B7-3DC7B08991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81-4146-84B7-3DC7B08991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81-4146-84B7-3DC7B08991C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 Trips</c:v>
                </c:pt>
              </c:strCache>
            </c:strRef>
          </c:cat>
          <c:val>
            <c:numRef>
              <c:f>Dashboard!$D$26:$D$28</c:f>
              <c:numCache>
                <c:formatCode>0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F-44D7-A026-D6477998FE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Operational Mix: Middle Missions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2-4442-B47B-6E795A978D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2-4442-B47B-6E795A978D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F2-4442-B47B-6E795A978D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 Trips</c:v>
                </c:pt>
              </c:strCache>
            </c:strRef>
          </c:cat>
          <c:val>
            <c:numRef>
              <c:f>Dashboard!$E$26:$E$28</c:f>
              <c:numCache>
                <c:formatCode>0</c:formatCode>
                <c:ptCount val="3"/>
                <c:pt idx="0">
                  <c:v>0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7-4D20-BDD4-74506B4642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Operational Mix: Long Missions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43-4AED-A8A2-F09F2296DC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43-4AED-A8A2-F09F2296DC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43-4AED-A8A2-F09F2296DC1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 Trips</c:v>
                </c:pt>
              </c:strCache>
            </c:strRef>
          </c:cat>
          <c:val>
            <c:numRef>
              <c:f>Dashboard!$F$26:$F$28</c:f>
              <c:numCache>
                <c:formatCode>0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F-4D36-9F70-A3068DE368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Composition Fleet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Dashboard!$C$25</c:f>
              <c:strCache>
                <c:ptCount val="1"/>
                <c:pt idx="0">
                  <c:v>Fleet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92-4D2F-B6D2-873B37B06E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92-4D2F-B6D2-873B37B06E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5B-43D1-AA66-F9FCFBA94932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Dashboard!$B$26:$B$28</c:f>
              <c:strCache>
                <c:ptCount val="3"/>
                <c:pt idx="0">
                  <c:v>Core-Drive</c:v>
                </c:pt>
                <c:pt idx="1">
                  <c:v>Outsourced</c:v>
                </c:pt>
                <c:pt idx="2">
                  <c:v>Taxi  Trips</c:v>
                </c:pt>
              </c:strCache>
            </c:strRef>
          </c:cat>
          <c:val>
            <c:numRef>
              <c:f>Dashboard!$C$26:$C$28</c:f>
              <c:numCache>
                <c:formatCode>General</c:formatCode>
                <c:ptCount val="3"/>
                <c:pt idx="0">
                  <c:v>0</c:v>
                </c:pt>
                <c:pt idx="1">
                  <c:v>13</c:v>
                </c:pt>
                <c:pt idx="2" formatCode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C4-4D2B-96CE-19FAAA3524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Potential</a:t>
            </a:r>
            <a:r>
              <a:rPr lang="en-US" baseline="0"/>
              <a:t> Optimization</a:t>
            </a:r>
            <a:r>
              <a:rPr lang="en-US"/>
              <a:t>: No.</a:t>
            </a:r>
            <a:r>
              <a:rPr lang="en-US" baseline="0"/>
              <a:t> Vehicles &amp; Drivers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Savings Opportunity'!$H$5</c:f>
              <c:strCache>
                <c:ptCount val="1"/>
                <c:pt idx="0">
                  <c:v>Min. to meet demand (per plot period)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Savings Opportunity'!$A$16:$A$17</c:f>
              <c:strCache>
                <c:ptCount val="2"/>
                <c:pt idx="0">
                  <c:v>No drivers</c:v>
                </c:pt>
                <c:pt idx="1">
                  <c:v>No vehicles </c:v>
                </c:pt>
              </c:strCache>
            </c:strRef>
          </c:cat>
          <c:val>
            <c:numRef>
              <c:f>'Cost Savings Opportunity'!$H$16:$H$17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5-45FD-8538-670869D31116}"/>
            </c:ext>
          </c:extLst>
        </c:ser>
        <c:ser>
          <c:idx val="1"/>
          <c:order val="1"/>
          <c:tx>
            <c:strRef>
              <c:f>'Cost Savings Opportunity'!$I$5</c:f>
              <c:strCache>
                <c:ptCount val="1"/>
                <c:pt idx="0">
                  <c:v>Savings potential (plot period)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'Cost Savings Opportunity'!$A$16:$A$17</c:f>
              <c:strCache>
                <c:ptCount val="2"/>
                <c:pt idx="0">
                  <c:v>No drivers</c:v>
                </c:pt>
                <c:pt idx="1">
                  <c:v>No vehicles </c:v>
                </c:pt>
              </c:strCache>
            </c:strRef>
          </c:cat>
          <c:val>
            <c:numRef>
              <c:f>'Cost Savings Opportunity'!$I$16:$I$17</c:f>
              <c:numCache>
                <c:formatCode>0</c:formatCode>
                <c:ptCount val="2"/>
                <c:pt idx="0">
                  <c:v>20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5-45FD-8538-670869D3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7938960"/>
        <c:axId val="897936992"/>
      </c:barChart>
      <c:catAx>
        <c:axId val="8979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36992"/>
        <c:crosses val="autoZero"/>
        <c:auto val="1"/>
        <c:lblAlgn val="ctr"/>
        <c:lblOffset val="100"/>
        <c:noMultiLvlLbl val="0"/>
      </c:catAx>
      <c:valAx>
        <c:axId val="89793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</a:t>
                </a:r>
                <a:r>
                  <a:rPr lang="en-US" baseline="0"/>
                  <a:t> vehicles/drivers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10</xdr:row>
      <xdr:rowOff>-1</xdr:rowOff>
    </xdr:from>
    <xdr:to>
      <xdr:col>7</xdr:col>
      <xdr:colOff>555171</xdr:colOff>
      <xdr:row>13</xdr:row>
      <xdr:rowOff>21771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E35CAE-B1D1-4929-B6AB-570F259EA503}"/>
            </a:ext>
          </a:extLst>
        </xdr:cNvPr>
        <xdr:cNvSpPr/>
      </xdr:nvSpPr>
      <xdr:spPr>
        <a:xfrm>
          <a:off x="5747658" y="1883228"/>
          <a:ext cx="2819399" cy="80554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For how many hours is a vehicle blocked if a certain mission is performed by a certain transportation mode</a:t>
          </a:r>
        </a:p>
      </xdr:txBody>
    </xdr:sp>
    <xdr:clientData/>
  </xdr:twoCellAnchor>
  <xdr:twoCellAnchor>
    <xdr:from>
      <xdr:col>4</xdr:col>
      <xdr:colOff>500743</xdr:colOff>
      <xdr:row>15</xdr:row>
      <xdr:rowOff>163286</xdr:rowOff>
    </xdr:from>
    <xdr:to>
      <xdr:col>8</xdr:col>
      <xdr:colOff>10885</xdr:colOff>
      <xdr:row>18</xdr:row>
      <xdr:rowOff>185058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765CA56-7D86-4B11-87FE-6352815B27DF}"/>
            </a:ext>
          </a:extLst>
        </xdr:cNvPr>
        <xdr:cNvSpPr/>
      </xdr:nvSpPr>
      <xdr:spPr>
        <a:xfrm>
          <a:off x="5812972" y="3222172"/>
          <a:ext cx="2819399" cy="80554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How often is a single leg between point A and pint B performed if a certain mission is performed by a certain transportation mode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909210</xdr:colOff>
      <xdr:row>1</xdr:row>
      <xdr:rowOff>4639</xdr:rowOff>
    </xdr:from>
    <xdr:to>
      <xdr:col>4</xdr:col>
      <xdr:colOff>121479</xdr:colOff>
      <xdr:row>2</xdr:row>
      <xdr:rowOff>11044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509384" y="192378"/>
          <a:ext cx="1255312" cy="304579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Simplex</a:t>
          </a:r>
          <a:r>
            <a:rPr lang="en-US" sz="1100" baseline="0"/>
            <a:t> LP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1195950</xdr:colOff>
      <xdr:row>29</xdr:row>
      <xdr:rowOff>100362</xdr:rowOff>
    </xdr:from>
    <xdr:to>
      <xdr:col>13</xdr:col>
      <xdr:colOff>638473</xdr:colOff>
      <xdr:row>45</xdr:row>
      <xdr:rowOff>20699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761748</xdr:colOff>
      <xdr:row>29</xdr:row>
      <xdr:rowOff>94960</xdr:rowOff>
    </xdr:from>
    <xdr:to>
      <xdr:col>8</xdr:col>
      <xdr:colOff>1045450</xdr:colOff>
      <xdr:row>44</xdr:row>
      <xdr:rowOff>163574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1200031</xdr:colOff>
      <xdr:row>4</xdr:row>
      <xdr:rowOff>69787</xdr:rowOff>
    </xdr:from>
    <xdr:to>
      <xdr:col>8</xdr:col>
      <xdr:colOff>248417</xdr:colOff>
      <xdr:row>22</xdr:row>
      <xdr:rowOff>11288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284125</xdr:colOff>
      <xdr:row>4</xdr:row>
      <xdr:rowOff>43144</xdr:rowOff>
    </xdr:from>
    <xdr:to>
      <xdr:col>16</xdr:col>
      <xdr:colOff>333167</xdr:colOff>
      <xdr:row>22</xdr:row>
      <xdr:rowOff>283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780913</xdr:colOff>
      <xdr:row>23</xdr:row>
      <xdr:rowOff>110685</xdr:rowOff>
    </xdr:from>
    <xdr:to>
      <xdr:col>21</xdr:col>
      <xdr:colOff>183201</xdr:colOff>
      <xdr:row>37</xdr:row>
      <xdr:rowOff>179752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349147</xdr:colOff>
      <xdr:row>23</xdr:row>
      <xdr:rowOff>118304</xdr:rowOff>
    </xdr:from>
    <xdr:to>
      <xdr:col>29</xdr:col>
      <xdr:colOff>108140</xdr:colOff>
      <xdr:row>37</xdr:row>
      <xdr:rowOff>179752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543728</xdr:colOff>
      <xdr:row>38</xdr:row>
      <xdr:rowOff>173723</xdr:rowOff>
    </xdr:from>
    <xdr:to>
      <xdr:col>25</xdr:col>
      <xdr:colOff>265087</xdr:colOff>
      <xdr:row>53</xdr:row>
      <xdr:rowOff>179753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1543050</xdr:colOff>
      <xdr:row>29</xdr:row>
      <xdr:rowOff>88900</xdr:rowOff>
    </xdr:from>
    <xdr:to>
      <xdr:col>4</xdr:col>
      <xdr:colOff>501650</xdr:colOff>
      <xdr:row>44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16CD5D-17C1-4151-8F78-8ED4E4DFB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53840</xdr:colOff>
      <xdr:row>2</xdr:row>
      <xdr:rowOff>90056</xdr:rowOff>
    </xdr:from>
    <xdr:to>
      <xdr:col>7</xdr:col>
      <xdr:colOff>1054678</xdr:colOff>
      <xdr:row>26</xdr:row>
      <xdr:rowOff>13855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E1E145-0BA8-432A-A78E-2F55C2BFB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1052434</xdr:colOff>
      <xdr:row>2</xdr:row>
      <xdr:rowOff>113200</xdr:rowOff>
    </xdr:from>
    <xdr:to>
      <xdr:col>11</xdr:col>
      <xdr:colOff>519546</xdr:colOff>
      <xdr:row>26</xdr:row>
      <xdr:rowOff>13853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E1C37B-AEF4-45C3-B89B-4F56DAE89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226753</xdr:colOff>
      <xdr:row>10</xdr:row>
      <xdr:rowOff>130117</xdr:rowOff>
    </xdr:from>
    <xdr:to>
      <xdr:col>7</xdr:col>
      <xdr:colOff>1079500</xdr:colOff>
      <xdr:row>31</xdr:row>
      <xdr:rowOff>139701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1126835</xdr:colOff>
      <xdr:row>10</xdr:row>
      <xdr:rowOff>126998</xdr:rowOff>
    </xdr:from>
    <xdr:to>
      <xdr:col>12</xdr:col>
      <xdr:colOff>889000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1018309</xdr:colOff>
      <xdr:row>34</xdr:row>
      <xdr:rowOff>0</xdr:rowOff>
    </xdr:from>
    <xdr:to>
      <xdr:col>8</xdr:col>
      <xdr:colOff>1620982</xdr:colOff>
      <xdr:row>60</xdr:row>
      <xdr:rowOff>55418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4F5F43-5CF5-425B-836D-BB8536FF2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I49"/>
  <sheetViews>
    <sheetView zoomScale="85" zoomScaleNormal="85" workbookViewId="0">
      <selection activeCell="C36" sqref="C36"/>
    </sheetView>
  </sheetViews>
  <sheetFormatPr defaultColWidth="8.77734375" defaultRowHeight="14.4" x14ac:dyDescent="0.3"/>
  <cols>
    <col min="1" max="1" width="25.88671875" style="6" bestFit="1" customWidth="1"/>
    <col min="2" max="2" width="26.6640625" style="6" bestFit="1" customWidth="1"/>
    <col min="3" max="3" width="21.44140625" style="6" bestFit="1" customWidth="1"/>
    <col min="4" max="4" width="36.33203125" style="6" bestFit="1" customWidth="1"/>
    <col min="5" max="5" width="5.21875" style="6" bestFit="1" customWidth="1"/>
    <col min="6" max="6" width="12.44140625" style="6" bestFit="1" customWidth="1"/>
    <col min="7" max="7" width="12.109375" style="6" bestFit="1" customWidth="1"/>
    <col min="8" max="8" width="12" style="6" bestFit="1" customWidth="1"/>
    <col min="9" max="9" width="12.6640625" style="6" bestFit="1" customWidth="1"/>
    <col min="10" max="10" width="12.109375" style="6" bestFit="1" customWidth="1"/>
    <col min="11" max="16384" width="8.77734375" style="6"/>
  </cols>
  <sheetData>
    <row r="1" spans="1:9" ht="16.2" thickBot="1" x14ac:dyDescent="0.35">
      <c r="A1" s="64" t="s">
        <v>5</v>
      </c>
    </row>
    <row r="2" spans="1:9" ht="15" thickBot="1" x14ac:dyDescent="0.35">
      <c r="A2" s="57" t="s">
        <v>14</v>
      </c>
      <c r="B2" s="62" t="s">
        <v>128</v>
      </c>
      <c r="C2" s="62" t="s">
        <v>129</v>
      </c>
      <c r="D2" s="62" t="s">
        <v>130</v>
      </c>
      <c r="E2" s="63" t="s">
        <v>10</v>
      </c>
    </row>
    <row r="3" spans="1:9" x14ac:dyDescent="0.3">
      <c r="A3" s="12" t="s">
        <v>32</v>
      </c>
      <c r="B3" s="3">
        <v>22</v>
      </c>
      <c r="C3" s="61">
        <v>1</v>
      </c>
      <c r="D3" s="61">
        <v>1</v>
      </c>
      <c r="E3" s="85"/>
    </row>
    <row r="4" spans="1:9" x14ac:dyDescent="0.3">
      <c r="A4" s="13" t="s">
        <v>6</v>
      </c>
      <c r="B4" s="47">
        <f>ROUND((D9/100)*B5,0)*Constraints!B22+ROUND((D10/100)*B5,0)*Constraints!C22+ROUND((D11/100)*B5,0)*Constraints!D22</f>
        <v>17523</v>
      </c>
      <c r="C4" s="47">
        <f>B4/B3</f>
        <v>796.5</v>
      </c>
      <c r="D4" s="47">
        <f>Constraints!B24*Constraints!B22+Constraints!C24*Constraints!C22+Constraints!D24*Constraints!D22</f>
        <v>807</v>
      </c>
      <c r="E4" s="66" t="s">
        <v>11</v>
      </c>
    </row>
    <row r="5" spans="1:9" x14ac:dyDescent="0.3">
      <c r="A5" s="13" t="s">
        <v>9</v>
      </c>
      <c r="B5" s="4">
        <v>847</v>
      </c>
      <c r="C5" s="46">
        <f>B5/B3</f>
        <v>38.5</v>
      </c>
      <c r="D5" s="46">
        <f>ROUND(D9/100*C5,0)+ROUND(D10/100*C5,0)+ROUND(D11/100*C5,0)</f>
        <v>38</v>
      </c>
      <c r="E5" s="66"/>
    </row>
    <row r="6" spans="1:9" hidden="1" x14ac:dyDescent="0.3">
      <c r="A6" s="13" t="s">
        <v>7</v>
      </c>
      <c r="B6" s="4">
        <v>900</v>
      </c>
      <c r="C6" s="46"/>
      <c r="D6" s="46">
        <f>ROUNDUP(B6/B3,0)</f>
        <v>41</v>
      </c>
      <c r="E6" s="66"/>
    </row>
    <row r="7" spans="1:9" x14ac:dyDescent="0.3">
      <c r="A7" s="13" t="s">
        <v>8</v>
      </c>
      <c r="B7" s="4">
        <v>34</v>
      </c>
      <c r="C7" s="46"/>
      <c r="D7" s="46">
        <f>B7</f>
        <v>34</v>
      </c>
      <c r="E7" s="66" t="s">
        <v>12</v>
      </c>
    </row>
    <row r="8" spans="1:9" x14ac:dyDescent="0.3">
      <c r="A8" s="13" t="s">
        <v>51</v>
      </c>
      <c r="B8" s="13"/>
      <c r="C8" s="13"/>
      <c r="D8" s="4">
        <v>0</v>
      </c>
      <c r="E8" s="66"/>
    </row>
    <row r="9" spans="1:9" x14ac:dyDescent="0.3">
      <c r="A9" s="13" t="s">
        <v>56</v>
      </c>
      <c r="B9" s="13"/>
      <c r="C9" s="13"/>
      <c r="D9" s="4">
        <v>50</v>
      </c>
      <c r="E9" s="66" t="s">
        <v>12</v>
      </c>
    </row>
    <row r="10" spans="1:9" x14ac:dyDescent="0.3">
      <c r="A10" s="13" t="s">
        <v>57</v>
      </c>
      <c r="B10" s="13"/>
      <c r="C10" s="13"/>
      <c r="D10" s="4">
        <v>35</v>
      </c>
      <c r="E10" s="66" t="s">
        <v>12</v>
      </c>
    </row>
    <row r="11" spans="1:9" x14ac:dyDescent="0.3">
      <c r="A11" s="13" t="s">
        <v>55</v>
      </c>
      <c r="B11" s="13"/>
      <c r="C11" s="13"/>
      <c r="D11" s="65">
        <f>100-D9-D10</f>
        <v>15</v>
      </c>
      <c r="E11" s="66" t="s">
        <v>12</v>
      </c>
    </row>
    <row r="12" spans="1:9" x14ac:dyDescent="0.3">
      <c r="A12" s="14"/>
      <c r="B12" s="14"/>
      <c r="C12" s="14"/>
      <c r="D12" s="14"/>
      <c r="E12" s="15"/>
      <c r="F12" s="14"/>
      <c r="G12" s="14"/>
      <c r="I12" s="14"/>
    </row>
    <row r="22" spans="9:9" x14ac:dyDescent="0.3">
      <c r="I22" s="14"/>
    </row>
    <row r="23" spans="9:9" x14ac:dyDescent="0.3">
      <c r="I23" s="14"/>
    </row>
    <row r="24" spans="9:9" x14ac:dyDescent="0.3">
      <c r="I24" s="14"/>
    </row>
    <row r="25" spans="9:9" x14ac:dyDescent="0.3">
      <c r="I25" s="14"/>
    </row>
    <row r="26" spans="9:9" x14ac:dyDescent="0.3">
      <c r="I26" s="14"/>
    </row>
    <row r="27" spans="9:9" x14ac:dyDescent="0.3">
      <c r="I27" s="14"/>
    </row>
    <row r="28" spans="9:9" x14ac:dyDescent="0.3">
      <c r="I28" s="14"/>
    </row>
    <row r="29" spans="9:9" x14ac:dyDescent="0.3">
      <c r="I29" s="14"/>
    </row>
    <row r="33" spans="9:9" x14ac:dyDescent="0.3">
      <c r="I33" s="14"/>
    </row>
    <row r="34" spans="9:9" x14ac:dyDescent="0.3">
      <c r="I34" s="14"/>
    </row>
    <row r="35" spans="9:9" x14ac:dyDescent="0.3">
      <c r="I35" s="16"/>
    </row>
    <row r="36" spans="9:9" x14ac:dyDescent="0.3">
      <c r="I36" s="16"/>
    </row>
    <row r="37" spans="9:9" x14ac:dyDescent="0.3">
      <c r="I37" s="16"/>
    </row>
    <row r="38" spans="9:9" x14ac:dyDescent="0.3">
      <c r="I38" s="16"/>
    </row>
    <row r="39" spans="9:9" x14ac:dyDescent="0.3">
      <c r="I39" s="16"/>
    </row>
    <row r="40" spans="9:9" x14ac:dyDescent="0.3">
      <c r="I40" s="16"/>
    </row>
    <row r="41" spans="9:9" x14ac:dyDescent="0.3">
      <c r="I41" s="14"/>
    </row>
    <row r="42" spans="9:9" x14ac:dyDescent="0.3">
      <c r="I42" s="14"/>
    </row>
    <row r="43" spans="9:9" x14ac:dyDescent="0.3">
      <c r="I43" s="14"/>
    </row>
    <row r="44" spans="9:9" x14ac:dyDescent="0.3">
      <c r="I44" s="14"/>
    </row>
    <row r="45" spans="9:9" x14ac:dyDescent="0.3">
      <c r="I45" s="14"/>
    </row>
    <row r="46" spans="9:9" x14ac:dyDescent="0.3">
      <c r="I46" s="14"/>
    </row>
    <row r="47" spans="9:9" x14ac:dyDescent="0.3">
      <c r="I47" s="14"/>
    </row>
    <row r="48" spans="9:9" x14ac:dyDescent="0.3">
      <c r="I48" s="14"/>
    </row>
    <row r="49" spans="9:9" x14ac:dyDescent="0.3">
      <c r="I4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I21"/>
  <sheetViews>
    <sheetView tabSelected="1" zoomScale="85" zoomScaleNormal="85" workbookViewId="0">
      <selection activeCell="B33" sqref="B33"/>
    </sheetView>
  </sheetViews>
  <sheetFormatPr defaultColWidth="8.77734375" defaultRowHeight="14.4" x14ac:dyDescent="0.3"/>
  <cols>
    <col min="1" max="1" width="22.44140625" style="6" bestFit="1" customWidth="1"/>
    <col min="2" max="2" width="14.109375" style="6" bestFit="1" customWidth="1"/>
    <col min="3" max="3" width="13.109375" style="6" bestFit="1" customWidth="1"/>
    <col min="4" max="4" width="8.77734375" style="6"/>
    <col min="5" max="5" width="22.77734375" style="6" bestFit="1" customWidth="1"/>
    <col min="6" max="6" width="4" style="6" bestFit="1" customWidth="1"/>
    <col min="7" max="7" width="11.44140625" style="6" bestFit="1" customWidth="1"/>
    <col min="8" max="8" width="3" style="6" bestFit="1" customWidth="1"/>
    <col min="9" max="9" width="5.33203125" style="6" bestFit="1" customWidth="1"/>
    <col min="10" max="16384" width="8.77734375" style="6"/>
  </cols>
  <sheetData>
    <row r="1" spans="1:5" x14ac:dyDescent="0.3">
      <c r="A1" s="11" t="s">
        <v>114</v>
      </c>
    </row>
    <row r="2" spans="1:5" x14ac:dyDescent="0.3">
      <c r="A2" s="11"/>
    </row>
    <row r="3" spans="1:5" x14ac:dyDescent="0.3">
      <c r="A3" s="137" t="s">
        <v>145</v>
      </c>
      <c r="B3" s="69" t="s">
        <v>146</v>
      </c>
    </row>
    <row r="4" spans="1:5" ht="15" thickBot="1" x14ac:dyDescent="0.35">
      <c r="A4" s="11"/>
    </row>
    <row r="5" spans="1:5" ht="15" thickBot="1" x14ac:dyDescent="0.35">
      <c r="A5" s="9" t="s">
        <v>21</v>
      </c>
      <c r="B5" s="10" t="s">
        <v>13</v>
      </c>
      <c r="C5" s="9" t="s">
        <v>25</v>
      </c>
      <c r="D5" s="9" t="s">
        <v>13</v>
      </c>
      <c r="E5" s="9" t="s">
        <v>25</v>
      </c>
    </row>
    <row r="6" spans="1:5" x14ac:dyDescent="0.3">
      <c r="A6" s="12" t="str">
        <f>A19</f>
        <v>Core-Drive</v>
      </c>
      <c r="B6" s="12"/>
      <c r="C6" s="12"/>
      <c r="D6" s="44">
        <f>SUM(D9:D13)</f>
        <v>59.028344166666663</v>
      </c>
      <c r="E6" s="42" t="str">
        <f>CONCATENATE($B$3,"/day")</f>
        <v>Euro/day</v>
      </c>
    </row>
    <row r="7" spans="1:5" x14ac:dyDescent="0.3">
      <c r="A7" s="12" t="str">
        <f>A20</f>
        <v>Outsourced</v>
      </c>
      <c r="B7" s="12"/>
      <c r="C7" s="12"/>
      <c r="D7" s="67">
        <v>40</v>
      </c>
      <c r="E7" s="42" t="str">
        <f>CONCATENATE($B$3,"/day")</f>
        <v>Euro/day</v>
      </c>
    </row>
    <row r="9" spans="1:5" x14ac:dyDescent="0.3">
      <c r="A9" s="13" t="s">
        <v>117</v>
      </c>
      <c r="B9" s="68">
        <v>1998.1666666666667</v>
      </c>
      <c r="C9" s="43" t="str">
        <f>CONCATENATE($B$3,"/year")</f>
        <v>Euro/year</v>
      </c>
      <c r="D9" s="43">
        <f>B9/250</f>
        <v>7.9926666666666666</v>
      </c>
      <c r="E9" s="5" t="str">
        <f>CONCATENATE($B$3,"/day")</f>
        <v>Euro/day</v>
      </c>
    </row>
    <row r="10" spans="1:5" x14ac:dyDescent="0.3">
      <c r="A10" s="13" t="s">
        <v>42</v>
      </c>
      <c r="B10" s="68">
        <v>135.739375</v>
      </c>
      <c r="C10" s="43" t="str">
        <f t="shared" ref="C10:C13" si="0">CONCATENATE($B$3,"/year")</f>
        <v>Euro/year</v>
      </c>
      <c r="D10" s="43">
        <f>B10/250</f>
        <v>0.54295749999999998</v>
      </c>
      <c r="E10" s="42" t="str">
        <f t="shared" ref="E10:E13" si="1">CONCATENATE($B$3,"/day")</f>
        <v>Euro/day</v>
      </c>
    </row>
    <row r="11" spans="1:5" x14ac:dyDescent="0.3">
      <c r="A11" s="13" t="s">
        <v>116</v>
      </c>
      <c r="B11" s="68">
        <v>11880</v>
      </c>
      <c r="C11" s="43" t="str">
        <f t="shared" si="0"/>
        <v>Euro/year</v>
      </c>
      <c r="D11" s="43">
        <f>B11/250</f>
        <v>47.52</v>
      </c>
      <c r="E11" s="42" t="str">
        <f t="shared" si="1"/>
        <v>Euro/day</v>
      </c>
    </row>
    <row r="12" spans="1:5" x14ac:dyDescent="0.3">
      <c r="A12" s="13" t="s">
        <v>44</v>
      </c>
      <c r="B12" s="68">
        <v>680</v>
      </c>
      <c r="C12" s="43" t="str">
        <f t="shared" si="0"/>
        <v>Euro/year</v>
      </c>
      <c r="D12" s="43">
        <f>B12/250</f>
        <v>2.72</v>
      </c>
      <c r="E12" s="42" t="str">
        <f t="shared" si="1"/>
        <v>Euro/day</v>
      </c>
    </row>
    <row r="13" spans="1:5" x14ac:dyDescent="0.3">
      <c r="A13" s="13" t="s">
        <v>45</v>
      </c>
      <c r="B13" s="68">
        <v>63.18</v>
      </c>
      <c r="C13" s="43" t="str">
        <f t="shared" si="0"/>
        <v>Euro/year</v>
      </c>
      <c r="D13" s="43">
        <f>B13/250</f>
        <v>0.25272</v>
      </c>
      <c r="E13" s="42" t="str">
        <f t="shared" si="1"/>
        <v>Euro/day</v>
      </c>
    </row>
    <row r="17" spans="1:9" ht="15" thickBot="1" x14ac:dyDescent="0.35">
      <c r="A17" s="11" t="s">
        <v>115</v>
      </c>
    </row>
    <row r="18" spans="1:9" ht="15" thickBot="1" x14ac:dyDescent="0.35">
      <c r="A18" s="9" t="s">
        <v>15</v>
      </c>
      <c r="B18" s="10" t="s">
        <v>13</v>
      </c>
      <c r="C18" s="9" t="s">
        <v>10</v>
      </c>
    </row>
    <row r="19" spans="1:9" x14ac:dyDescent="0.3">
      <c r="A19" s="69" t="s">
        <v>2</v>
      </c>
      <c r="B19" s="69">
        <v>0.12</v>
      </c>
      <c r="C19" s="66" t="str">
        <f>CONCATENATE($B$3,"/km")</f>
        <v>Euro/km</v>
      </c>
    </row>
    <row r="20" spans="1:9" x14ac:dyDescent="0.3">
      <c r="A20" s="69" t="s">
        <v>49</v>
      </c>
      <c r="B20" s="69">
        <v>0</v>
      </c>
      <c r="C20" s="66" t="str">
        <f t="shared" ref="C20:C21" si="2">CONCATENATE($B$3,"/km")</f>
        <v>Euro/km</v>
      </c>
    </row>
    <row r="21" spans="1:9" x14ac:dyDescent="0.3">
      <c r="A21" s="69" t="s">
        <v>3</v>
      </c>
      <c r="B21" s="69">
        <v>0.6</v>
      </c>
      <c r="C21" s="66" t="str">
        <f t="shared" si="2"/>
        <v>Euro/km</v>
      </c>
      <c r="D21" s="69">
        <v>1.5</v>
      </c>
      <c r="E21" s="66" t="str">
        <f>CONCATENATE($B$3," for Call-out and first")</f>
        <v>Euro for Call-out and first</v>
      </c>
      <c r="F21" s="69">
        <v>1.5</v>
      </c>
      <c r="G21" s="66" t="s">
        <v>127</v>
      </c>
      <c r="H21" s="69">
        <v>15</v>
      </c>
      <c r="I21" s="66" t="s">
        <v>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G24"/>
  <sheetViews>
    <sheetView zoomScaleNormal="100" workbookViewId="0">
      <selection activeCell="B39" sqref="B39"/>
    </sheetView>
  </sheetViews>
  <sheetFormatPr defaultColWidth="8.77734375" defaultRowHeight="14.4" x14ac:dyDescent="0.3"/>
  <cols>
    <col min="1" max="1" width="32.109375" style="6" bestFit="1" customWidth="1"/>
    <col min="2" max="2" width="16.44140625" style="6" customWidth="1"/>
    <col min="3" max="3" width="16.77734375" style="6" customWidth="1"/>
    <col min="4" max="4" width="16.109375" style="6" bestFit="1" customWidth="1"/>
    <col min="5" max="5" width="14.44140625" style="6" bestFit="1" customWidth="1"/>
    <col min="6" max="6" width="8.77734375" style="6"/>
    <col min="7" max="7" width="16" style="6" customWidth="1"/>
    <col min="8" max="9" width="8.77734375" style="6"/>
    <col min="10" max="10" width="27.109375" style="6" customWidth="1"/>
    <col min="11" max="12" width="8.77734375" style="6"/>
    <col min="13" max="13" width="5.6640625" style="6" customWidth="1"/>
    <col min="14" max="16384" width="8.77734375" style="6"/>
  </cols>
  <sheetData>
    <row r="1" spans="1:7" ht="15" thickBot="1" x14ac:dyDescent="0.35">
      <c r="A1" s="11" t="s">
        <v>29</v>
      </c>
    </row>
    <row r="2" spans="1:7" ht="15" thickBot="1" x14ac:dyDescent="0.35">
      <c r="A2" s="38"/>
      <c r="B2" s="39" t="str">
        <f>'Input Cost'!A19</f>
        <v>Core-Drive</v>
      </c>
      <c r="C2" s="40" t="str">
        <f>'Input Cost'!A20</f>
        <v>Outsourced</v>
      </c>
      <c r="D2" s="58" t="s">
        <v>10</v>
      </c>
      <c r="E2" s="39" t="s">
        <v>3</v>
      </c>
      <c r="F2" s="40"/>
    </row>
    <row r="3" spans="1:7" x14ac:dyDescent="0.3">
      <c r="A3" s="56" t="s">
        <v>16</v>
      </c>
      <c r="B3" s="70">
        <v>120</v>
      </c>
      <c r="C3" s="71">
        <v>120</v>
      </c>
      <c r="D3" s="59" t="s">
        <v>17</v>
      </c>
      <c r="E3" s="12" t="s">
        <v>41</v>
      </c>
      <c r="F3" s="12" t="s">
        <v>40</v>
      </c>
    </row>
    <row r="4" spans="1:7" x14ac:dyDescent="0.3">
      <c r="A4" s="54" t="s">
        <v>75</v>
      </c>
      <c r="B4" s="5">
        <v>5</v>
      </c>
      <c r="C4" s="60">
        <v>5</v>
      </c>
      <c r="D4" s="45" t="s">
        <v>82</v>
      </c>
      <c r="E4" s="13" t="s">
        <v>41</v>
      </c>
      <c r="F4" s="13" t="s">
        <v>40</v>
      </c>
      <c r="G4" s="41" t="s">
        <v>92</v>
      </c>
    </row>
    <row r="5" spans="1:7" hidden="1" x14ac:dyDescent="0.3">
      <c r="A5" s="54" t="s">
        <v>18</v>
      </c>
      <c r="B5" s="13">
        <v>3</v>
      </c>
      <c r="C5" s="48">
        <v>3</v>
      </c>
      <c r="D5" s="45" t="s">
        <v>39</v>
      </c>
      <c r="E5" s="13">
        <v>3</v>
      </c>
      <c r="F5" s="13" t="s">
        <v>40</v>
      </c>
    </row>
    <row r="6" spans="1:7" ht="15" thickBot="1" x14ac:dyDescent="0.35">
      <c r="A6" s="55" t="s">
        <v>83</v>
      </c>
      <c r="B6" s="72">
        <v>8</v>
      </c>
      <c r="C6" s="73">
        <v>8</v>
      </c>
      <c r="D6" s="6" t="s">
        <v>74</v>
      </c>
    </row>
    <row r="10" spans="1:7" ht="15" thickBot="1" x14ac:dyDescent="0.35"/>
    <row r="11" spans="1:7" ht="15" thickBot="1" x14ac:dyDescent="0.35">
      <c r="A11" s="57" t="s">
        <v>87</v>
      </c>
      <c r="B11" s="39" t="s">
        <v>84</v>
      </c>
      <c r="C11" s="39" t="s">
        <v>85</v>
      </c>
      <c r="D11" s="40" t="s">
        <v>86</v>
      </c>
    </row>
    <row r="12" spans="1:7" x14ac:dyDescent="0.3">
      <c r="A12" s="56" t="s">
        <v>2</v>
      </c>
      <c r="B12" s="70">
        <v>1.5</v>
      </c>
      <c r="C12" s="70">
        <v>2</v>
      </c>
      <c r="D12" s="71">
        <v>8</v>
      </c>
    </row>
    <row r="13" spans="1:7" x14ac:dyDescent="0.3">
      <c r="A13" s="54" t="s">
        <v>49</v>
      </c>
      <c r="B13" s="69">
        <v>1.5</v>
      </c>
      <c r="C13" s="69">
        <v>2</v>
      </c>
      <c r="D13" s="74">
        <v>8</v>
      </c>
    </row>
    <row r="14" spans="1:7" ht="15" thickBot="1" x14ac:dyDescent="0.35">
      <c r="A14" s="55" t="s">
        <v>3</v>
      </c>
      <c r="B14" s="138" t="s">
        <v>88</v>
      </c>
      <c r="C14" s="138"/>
      <c r="D14" s="139"/>
    </row>
    <row r="15" spans="1:7" ht="15" thickBot="1" x14ac:dyDescent="0.35">
      <c r="A15" s="41"/>
      <c r="B15" s="41"/>
      <c r="C15" s="41"/>
      <c r="D15" s="41"/>
    </row>
    <row r="16" spans="1:7" ht="15" thickBot="1" x14ac:dyDescent="0.35">
      <c r="A16" s="57" t="s">
        <v>90</v>
      </c>
      <c r="B16" s="39" t="s">
        <v>84</v>
      </c>
      <c r="C16" s="39" t="s">
        <v>85</v>
      </c>
      <c r="D16" s="40" t="s">
        <v>86</v>
      </c>
    </row>
    <row r="17" spans="1:5" x14ac:dyDescent="0.3">
      <c r="A17" s="56" t="s">
        <v>2</v>
      </c>
      <c r="B17" s="70">
        <v>4</v>
      </c>
      <c r="C17" s="70">
        <v>3</v>
      </c>
      <c r="D17" s="71">
        <v>2</v>
      </c>
    </row>
    <row r="18" spans="1:5" x14ac:dyDescent="0.3">
      <c r="A18" s="54" t="s">
        <v>49</v>
      </c>
      <c r="B18" s="69">
        <v>4</v>
      </c>
      <c r="C18" s="69">
        <v>3</v>
      </c>
      <c r="D18" s="74">
        <v>2</v>
      </c>
    </row>
    <row r="19" spans="1:5" ht="15" thickBot="1" x14ac:dyDescent="0.35">
      <c r="A19" s="55" t="s">
        <v>3</v>
      </c>
      <c r="B19" s="72">
        <v>2</v>
      </c>
      <c r="C19" s="72">
        <v>2</v>
      </c>
      <c r="D19" s="73">
        <v>2</v>
      </c>
    </row>
    <row r="20" spans="1:5" ht="15" thickBot="1" x14ac:dyDescent="0.35">
      <c r="A20" s="41"/>
      <c r="B20" s="41"/>
      <c r="C20" s="41"/>
      <c r="D20" s="41"/>
    </row>
    <row r="21" spans="1:5" ht="15" thickBot="1" x14ac:dyDescent="0.35">
      <c r="A21" s="57" t="s">
        <v>124</v>
      </c>
      <c r="B21" s="39" t="s">
        <v>91</v>
      </c>
      <c r="C21" s="39" t="s">
        <v>71</v>
      </c>
      <c r="D21" s="40" t="s">
        <v>72</v>
      </c>
    </row>
    <row r="22" spans="1:5" x14ac:dyDescent="0.3">
      <c r="A22" s="56" t="s">
        <v>100</v>
      </c>
      <c r="B22" s="75">
        <v>4</v>
      </c>
      <c r="C22" s="75">
        <v>17</v>
      </c>
      <c r="D22" s="76">
        <v>85</v>
      </c>
    </row>
    <row r="23" spans="1:5" x14ac:dyDescent="0.3">
      <c r="A23" s="54" t="s">
        <v>89</v>
      </c>
      <c r="B23" s="13" t="s">
        <v>68</v>
      </c>
      <c r="C23" s="13" t="s">
        <v>69</v>
      </c>
      <c r="D23" s="48" t="s">
        <v>70</v>
      </c>
      <c r="E23" s="6" t="s">
        <v>141</v>
      </c>
    </row>
    <row r="24" spans="1:5" ht="15" thickBot="1" x14ac:dyDescent="0.35">
      <c r="A24" s="55" t="s">
        <v>99</v>
      </c>
      <c r="B24" s="49">
        <f>ROUND('Input Demand'!D9/100*'Input Demand'!D5,0)</f>
        <v>19</v>
      </c>
      <c r="C24" s="49">
        <f>ROUND('Input Demand'!D10/100*'Input Demand'!D5,0)</f>
        <v>13</v>
      </c>
      <c r="D24" s="50">
        <f>ROUND('Input Demand'!D11/100*'Input Demand'!D5,0)</f>
        <v>6</v>
      </c>
    </row>
  </sheetData>
  <mergeCells count="1">
    <mergeCell ref="B14:D1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J52"/>
  <sheetViews>
    <sheetView zoomScale="85" zoomScaleNormal="85" workbookViewId="0">
      <selection activeCell="C4" sqref="C4:C11"/>
    </sheetView>
  </sheetViews>
  <sheetFormatPr defaultColWidth="8.77734375" defaultRowHeight="14.4" x14ac:dyDescent="0.3"/>
  <cols>
    <col min="1" max="1" width="38.109375" style="6" customWidth="1"/>
    <col min="2" max="2" width="16.6640625" style="6" customWidth="1"/>
    <col min="3" max="3" width="18.21875" style="6" bestFit="1" customWidth="1"/>
    <col min="4" max="4" width="13.44140625" style="6" bestFit="1" customWidth="1"/>
    <col min="5" max="5" width="19.6640625" style="6" bestFit="1" customWidth="1"/>
    <col min="6" max="6" width="12.109375" style="6" customWidth="1"/>
    <col min="7" max="7" width="10.77734375" style="6" customWidth="1"/>
    <col min="8" max="8" width="11" style="6" bestFit="1" customWidth="1"/>
    <col min="9" max="9" width="21.77734375" style="6" bestFit="1" customWidth="1"/>
    <col min="10" max="10" width="8.109375" style="6" bestFit="1" customWidth="1"/>
    <col min="11" max="11" width="19.33203125" style="6" bestFit="1" customWidth="1"/>
    <col min="12" max="12" width="23.77734375" style="6" bestFit="1" customWidth="1"/>
    <col min="13" max="16384" width="8.77734375" style="6"/>
  </cols>
  <sheetData>
    <row r="1" spans="1:10" s="18" customFormat="1" x14ac:dyDescent="0.3"/>
    <row r="2" spans="1:10" s="18" customFormat="1" ht="23.4" x14ac:dyDescent="0.45">
      <c r="B2" s="19" t="s">
        <v>98</v>
      </c>
    </row>
    <row r="3" spans="1:10" s="18" customFormat="1" ht="15" thickBot="1" x14ac:dyDescent="0.35"/>
    <row r="4" spans="1:10" ht="15" thickBot="1" x14ac:dyDescent="0.35">
      <c r="A4" s="80" t="s">
        <v>119</v>
      </c>
      <c r="B4" s="132">
        <f>B5+B8</f>
        <v>685.24</v>
      </c>
      <c r="C4" s="127" t="str">
        <f>'Input Cost'!$B$3</f>
        <v>Euro</v>
      </c>
    </row>
    <row r="5" spans="1:10" x14ac:dyDescent="0.3">
      <c r="A5" s="81" t="s">
        <v>138</v>
      </c>
      <c r="B5" s="133">
        <f>SUM(B6:B7)</f>
        <v>520</v>
      </c>
      <c r="C5" s="128" t="str">
        <f>'Input Cost'!$B$3</f>
        <v>Euro</v>
      </c>
    </row>
    <row r="6" spans="1:10" x14ac:dyDescent="0.3">
      <c r="A6" s="82" t="str">
        <f>'Input Cost'!A19</f>
        <v>Core-Drive</v>
      </c>
      <c r="B6" s="134">
        <f>B14*'Input Cost'!D6</f>
        <v>0</v>
      </c>
      <c r="C6" s="129" t="str">
        <f>'Input Cost'!$B$3</f>
        <v>Euro</v>
      </c>
    </row>
    <row r="7" spans="1:10" x14ac:dyDescent="0.3">
      <c r="A7" s="82" t="str">
        <f>'Input Cost'!A20</f>
        <v>Outsourced</v>
      </c>
      <c r="B7" s="135">
        <f>B15*'Input Cost'!D7</f>
        <v>520</v>
      </c>
      <c r="C7" s="130" t="str">
        <f>'Input Cost'!$B$3</f>
        <v>Euro</v>
      </c>
    </row>
    <row r="8" spans="1:10" x14ac:dyDescent="0.3">
      <c r="A8" s="83" t="s">
        <v>139</v>
      </c>
      <c r="B8" s="136">
        <f>SUM(B9:B11)</f>
        <v>165.24</v>
      </c>
      <c r="C8" s="131" t="str">
        <f>'Input Cost'!$B$3</f>
        <v>Euro</v>
      </c>
    </row>
    <row r="9" spans="1:10" x14ac:dyDescent="0.3">
      <c r="A9" s="82" t="str">
        <f>'Input Cost'!A19</f>
        <v>Core-Drive</v>
      </c>
      <c r="B9" s="134">
        <f>E18*'Input Cost'!B19</f>
        <v>0</v>
      </c>
      <c r="C9" s="129" t="str">
        <f>'Input Cost'!$B$3</f>
        <v>Euro</v>
      </c>
    </row>
    <row r="10" spans="1:10" x14ac:dyDescent="0.3">
      <c r="A10" s="82" t="str">
        <f>'Input Cost'!A20</f>
        <v>Outsourced</v>
      </c>
      <c r="B10" s="134">
        <f>E19*'Input Cost'!B20</f>
        <v>0</v>
      </c>
      <c r="C10" s="129" t="str">
        <f>'Input Cost'!$B$3</f>
        <v>Euro</v>
      </c>
    </row>
    <row r="11" spans="1:10" x14ac:dyDescent="0.3">
      <c r="A11" s="84" t="str">
        <f>'Input Cost'!A21</f>
        <v xml:space="preserve">Taxi </v>
      </c>
      <c r="B11" s="135">
        <f>((E20-'Input Cost'!F21*SUM(B20:D20))*'Input Cost'!B21+SUM(B20:D20)*'Input Cost'!D21)*(1-'Input Cost'!H21/100)</f>
        <v>165.24</v>
      </c>
      <c r="C11" s="130" t="str">
        <f>'Input Cost'!$B$3</f>
        <v>Euro</v>
      </c>
    </row>
    <row r="13" spans="1:10" x14ac:dyDescent="0.3">
      <c r="A13" s="11" t="s">
        <v>0</v>
      </c>
    </row>
    <row r="14" spans="1:10" x14ac:dyDescent="0.3">
      <c r="A14" s="125" t="str">
        <f>'Input Cost'!A19</f>
        <v>Core-Drive</v>
      </c>
      <c r="B14" s="1">
        <v>0</v>
      </c>
      <c r="C14" s="125" t="s">
        <v>19</v>
      </c>
      <c r="J14" s="6" t="s">
        <v>140</v>
      </c>
    </row>
    <row r="15" spans="1:10" x14ac:dyDescent="0.3">
      <c r="A15" s="125" t="str">
        <f>'Input Cost'!A20</f>
        <v>Outsourced</v>
      </c>
      <c r="B15" s="1">
        <v>13</v>
      </c>
      <c r="C15" s="125" t="s">
        <v>19</v>
      </c>
    </row>
    <row r="16" spans="1:10" x14ac:dyDescent="0.3">
      <c r="A16" s="125" t="s">
        <v>142</v>
      </c>
      <c r="B16" s="126">
        <f>SUM(B20:D20)</f>
        <v>18</v>
      </c>
      <c r="C16" s="125" t="s">
        <v>143</v>
      </c>
    </row>
    <row r="17" spans="1:8" x14ac:dyDescent="0.3">
      <c r="A17" s="11" t="s">
        <v>137</v>
      </c>
      <c r="B17" s="6" t="s">
        <v>58</v>
      </c>
      <c r="C17" s="6" t="s">
        <v>59</v>
      </c>
      <c r="D17" s="6" t="s">
        <v>60</v>
      </c>
      <c r="E17" s="6" t="s">
        <v>38</v>
      </c>
      <c r="F17" s="6" t="s">
        <v>94</v>
      </c>
      <c r="G17" s="6" t="s">
        <v>93</v>
      </c>
      <c r="H17" s="6" t="s">
        <v>104</v>
      </c>
    </row>
    <row r="18" spans="1:8" x14ac:dyDescent="0.3">
      <c r="A18" s="125" t="str">
        <f>'Input Cost'!A19</f>
        <v>Core-Drive</v>
      </c>
      <c r="B18" s="2">
        <v>0</v>
      </c>
      <c r="C18" s="1">
        <v>0</v>
      </c>
      <c r="D18" s="1">
        <v>0</v>
      </c>
      <c r="E18" s="77">
        <f>SUMPRODUCT(B18:D18,DistanceFactorCoreDrive,DistancesTripTypes)</f>
        <v>0</v>
      </c>
      <c r="F18" s="78">
        <f>SUM(B18:D18)</f>
        <v>0</v>
      </c>
      <c r="G18" s="79">
        <f>B14</f>
        <v>0</v>
      </c>
      <c r="H18" s="78">
        <f>MAX(F18:G18)</f>
        <v>0</v>
      </c>
    </row>
    <row r="19" spans="1:8" x14ac:dyDescent="0.3">
      <c r="A19" s="125" t="str">
        <f>'Input Cost'!A20</f>
        <v>Outsourced</v>
      </c>
      <c r="B19" s="2">
        <v>2</v>
      </c>
      <c r="C19" s="1">
        <v>13</v>
      </c>
      <c r="D19" s="1">
        <v>5</v>
      </c>
      <c r="E19" s="77">
        <f>SUMPRODUCT(B19:D19,DistanceFactorOutsourced,DistancesTripTypes)</f>
        <v>1545</v>
      </c>
      <c r="F19" s="78">
        <f>SUM(B19:D19)</f>
        <v>20</v>
      </c>
      <c r="G19" s="79">
        <f>B15</f>
        <v>13</v>
      </c>
      <c r="H19" s="78">
        <f>MAX(F19:G19)</f>
        <v>20</v>
      </c>
    </row>
    <row r="20" spans="1:8" x14ac:dyDescent="0.3">
      <c r="A20" s="125" t="str">
        <f>'Input Cost'!A21</f>
        <v xml:space="preserve">Taxi </v>
      </c>
      <c r="B20" s="2">
        <v>17</v>
      </c>
      <c r="C20" s="1">
        <v>0</v>
      </c>
      <c r="D20" s="1">
        <v>1</v>
      </c>
      <c r="E20" s="77">
        <f>SUMPRODUCT(B20:D20,DistanceFactorTaxi,DistancesTripTypes)</f>
        <v>306</v>
      </c>
      <c r="F20" s="78"/>
      <c r="G20" s="79"/>
      <c r="H20" s="78"/>
    </row>
    <row r="21" spans="1:8" ht="15" thickBot="1" x14ac:dyDescent="0.35">
      <c r="B21" s="17"/>
      <c r="C21" s="6" t="s">
        <v>136</v>
      </c>
      <c r="D21" s="119">
        <f>SUM(B18:D20)</f>
        <v>38</v>
      </c>
    </row>
    <row r="22" spans="1:8" ht="43.8" thickBot="1" x14ac:dyDescent="0.35">
      <c r="A22" s="7" t="s">
        <v>22</v>
      </c>
      <c r="B22" s="51" t="s">
        <v>61</v>
      </c>
      <c r="C22" s="10"/>
      <c r="D22" s="52" t="s">
        <v>23</v>
      </c>
    </row>
    <row r="23" spans="1:8" x14ac:dyDescent="0.3">
      <c r="A23" s="22" t="s">
        <v>62</v>
      </c>
      <c r="B23" s="23">
        <f>SUM(B18:B20)</f>
        <v>19</v>
      </c>
      <c r="C23" s="24" t="s">
        <v>73</v>
      </c>
      <c r="D23" s="25">
        <f>Constraints!B24</f>
        <v>19</v>
      </c>
    </row>
    <row r="24" spans="1:8" x14ac:dyDescent="0.3">
      <c r="A24" s="26" t="s">
        <v>63</v>
      </c>
      <c r="B24" s="27">
        <f>SUM(C18:C20)</f>
        <v>13</v>
      </c>
      <c r="C24" s="28" t="s">
        <v>73</v>
      </c>
      <c r="D24" s="29">
        <f>Constraints!C24</f>
        <v>13</v>
      </c>
    </row>
    <row r="25" spans="1:8" x14ac:dyDescent="0.3">
      <c r="A25" s="26" t="s">
        <v>64</v>
      </c>
      <c r="B25" s="30">
        <f>SUM(D18:D20)</f>
        <v>6</v>
      </c>
      <c r="C25" s="28" t="s">
        <v>73</v>
      </c>
      <c r="D25" s="29">
        <f>Constraints!D24</f>
        <v>6</v>
      </c>
    </row>
    <row r="26" spans="1:8" x14ac:dyDescent="0.3">
      <c r="A26" s="26" t="s">
        <v>20</v>
      </c>
      <c r="B26" s="30">
        <f>SUM(B14:B15)+SUM(B20:D20)</f>
        <v>31</v>
      </c>
      <c r="C26" s="30" t="s">
        <v>24</v>
      </c>
      <c r="D26" s="29">
        <f>ROUNDUP('Input Demand'!D7/100*'Input Demand'!D5,0)</f>
        <v>13</v>
      </c>
    </row>
    <row r="27" spans="1:8" ht="15" thickBot="1" x14ac:dyDescent="0.35">
      <c r="A27" s="31" t="s">
        <v>50</v>
      </c>
      <c r="B27" s="32">
        <f>SUM(B14:B14)</f>
        <v>0</v>
      </c>
      <c r="C27" s="32" t="s">
        <v>24</v>
      </c>
      <c r="D27" s="33">
        <f>'Input Demand'!D8</f>
        <v>0</v>
      </c>
    </row>
    <row r="28" spans="1:8" x14ac:dyDescent="0.3">
      <c r="A28" s="34" t="str">
        <f>'Input Cost'!A19</f>
        <v>Core-Drive</v>
      </c>
      <c r="B28" s="34">
        <f>B14*Constraints!B3</f>
        <v>0</v>
      </c>
      <c r="C28" s="28" t="s">
        <v>24</v>
      </c>
      <c r="D28" s="34">
        <f>E18</f>
        <v>0</v>
      </c>
      <c r="E28" s="140" t="s">
        <v>125</v>
      </c>
    </row>
    <row r="29" spans="1:8" ht="15" thickBot="1" x14ac:dyDescent="0.35">
      <c r="A29" s="35" t="str">
        <f>'Input Cost'!A20</f>
        <v>Outsourced</v>
      </c>
      <c r="B29" s="35">
        <f>B15*Constraints!C3</f>
        <v>1560</v>
      </c>
      <c r="C29" s="32" t="s">
        <v>24</v>
      </c>
      <c r="D29" s="35">
        <f>E19</f>
        <v>1545</v>
      </c>
      <c r="E29" s="140"/>
    </row>
    <row r="30" spans="1:8" x14ac:dyDescent="0.3">
      <c r="A30" s="34" t="str">
        <f>'Input Cost'!A19</f>
        <v>Core-Drive</v>
      </c>
      <c r="B30" s="34">
        <f>B14*Constraints!B6</f>
        <v>0</v>
      </c>
      <c r="C30" s="30" t="s">
        <v>24</v>
      </c>
      <c r="D30" s="36">
        <f>SUMPRODUCT(B18:D18,Constraints!B12:D12)</f>
        <v>0</v>
      </c>
      <c r="E30" s="140" t="s">
        <v>126</v>
      </c>
    </row>
    <row r="31" spans="1:8" ht="15" thickBot="1" x14ac:dyDescent="0.35">
      <c r="A31" s="35" t="str">
        <f>'Input Cost'!A20</f>
        <v>Outsourced</v>
      </c>
      <c r="B31" s="35">
        <f>B15*Constraints!C6</f>
        <v>104</v>
      </c>
      <c r="C31" s="32" t="s">
        <v>24</v>
      </c>
      <c r="D31" s="37">
        <f>SUMPRODUCT(B19:D19,Constraints!B13:D13)</f>
        <v>69</v>
      </c>
      <c r="E31" s="140"/>
    </row>
    <row r="33" spans="2:4" x14ac:dyDescent="0.3">
      <c r="B33" s="21"/>
      <c r="C33" s="8"/>
    </row>
    <row r="34" spans="2:4" x14ac:dyDescent="0.3">
      <c r="B34" s="21"/>
      <c r="C34" s="8"/>
    </row>
    <row r="35" spans="2:4" x14ac:dyDescent="0.3">
      <c r="C35" s="8"/>
      <c r="D35" s="21"/>
    </row>
    <row r="36" spans="2:4" x14ac:dyDescent="0.3">
      <c r="C36" s="8"/>
    </row>
    <row r="37" spans="2:4" x14ac:dyDescent="0.3">
      <c r="C37" s="8"/>
    </row>
    <row r="38" spans="2:4" x14ac:dyDescent="0.3">
      <c r="C38" s="8"/>
    </row>
    <row r="40" spans="2:4" x14ac:dyDescent="0.3">
      <c r="B40" s="21"/>
      <c r="C40" s="8"/>
    </row>
    <row r="41" spans="2:4" x14ac:dyDescent="0.3">
      <c r="B41" s="21"/>
      <c r="C41" s="8"/>
    </row>
    <row r="42" spans="2:4" x14ac:dyDescent="0.3">
      <c r="C42" s="8"/>
      <c r="D42" s="21"/>
    </row>
    <row r="43" spans="2:4" x14ac:dyDescent="0.3">
      <c r="C43" s="8"/>
    </row>
    <row r="44" spans="2:4" x14ac:dyDescent="0.3">
      <c r="C44" s="8"/>
    </row>
    <row r="45" spans="2:4" x14ac:dyDescent="0.3">
      <c r="C45" s="8"/>
    </row>
    <row r="47" spans="2:4" x14ac:dyDescent="0.3">
      <c r="B47" s="21"/>
      <c r="C47" s="8"/>
    </row>
    <row r="48" spans="2:4" x14ac:dyDescent="0.3">
      <c r="B48" s="21"/>
      <c r="C48" s="8"/>
    </row>
    <row r="49" spans="3:4" x14ac:dyDescent="0.3">
      <c r="C49" s="8"/>
      <c r="D49" s="21"/>
    </row>
    <row r="50" spans="3:4" x14ac:dyDescent="0.3">
      <c r="C50" s="8"/>
    </row>
    <row r="51" spans="3:4" x14ac:dyDescent="0.3">
      <c r="C51" s="8"/>
    </row>
    <row r="52" spans="3:4" x14ac:dyDescent="0.3">
      <c r="C52" s="8"/>
    </row>
  </sheetData>
  <mergeCells count="2">
    <mergeCell ref="E28:E29"/>
    <mergeCell ref="E30:E3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</sheetPr>
  <dimension ref="A1:N50"/>
  <sheetViews>
    <sheetView zoomScale="70" zoomScaleNormal="70" workbookViewId="0">
      <selection activeCell="D53" sqref="D53"/>
    </sheetView>
  </sheetViews>
  <sheetFormatPr defaultColWidth="8.77734375" defaultRowHeight="14.4" x14ac:dyDescent="0.3"/>
  <cols>
    <col min="1" max="1" width="23.77734375" style="6" customWidth="1"/>
    <col min="2" max="2" width="26.109375" style="6" customWidth="1"/>
    <col min="3" max="3" width="13.77734375" style="6" customWidth="1"/>
    <col min="4" max="4" width="18.33203125" style="6" bestFit="1" customWidth="1"/>
    <col min="5" max="5" width="20.6640625" style="6" bestFit="1" customWidth="1"/>
    <col min="6" max="6" width="17.44140625" style="6" bestFit="1" customWidth="1"/>
    <col min="7" max="7" width="12.77734375" style="6" bestFit="1" customWidth="1"/>
    <col min="8" max="8" width="12.109375" style="6" bestFit="1" customWidth="1"/>
    <col min="9" max="9" width="20.44140625" style="6" bestFit="1" customWidth="1"/>
    <col min="10" max="14" width="13.77734375" style="6" customWidth="1"/>
    <col min="15" max="16384" width="8.77734375" style="6"/>
  </cols>
  <sheetData>
    <row r="1" spans="1:14" s="18" customFormat="1" x14ac:dyDescent="0.3"/>
    <row r="2" spans="1:14" s="18" customFormat="1" ht="23.4" x14ac:dyDescent="0.45">
      <c r="B2" s="19" t="s">
        <v>95</v>
      </c>
    </row>
    <row r="3" spans="1:14" s="18" customFormat="1" x14ac:dyDescent="0.3"/>
    <row r="5" spans="1:14" x14ac:dyDescent="0.3">
      <c r="C5" s="11" t="s">
        <v>53</v>
      </c>
      <c r="D5" s="11"/>
      <c r="E5" s="141" t="s">
        <v>26</v>
      </c>
      <c r="F5" s="141"/>
      <c r="G5" s="141"/>
      <c r="J5" s="11" t="s">
        <v>53</v>
      </c>
      <c r="K5" s="11"/>
      <c r="L5" s="141" t="s">
        <v>26</v>
      </c>
      <c r="M5" s="141"/>
      <c r="N5" s="141"/>
    </row>
    <row r="6" spans="1:14" x14ac:dyDescent="0.3">
      <c r="C6" s="6" t="s">
        <v>27</v>
      </c>
      <c r="D6" s="6" t="s">
        <v>35</v>
      </c>
      <c r="E6" s="6" t="str">
        <f>'Input Cost'!A19</f>
        <v>Core-Drive</v>
      </c>
      <c r="F6" s="6" t="str">
        <f>'Input Cost'!A20</f>
        <v>Outsourced</v>
      </c>
      <c r="G6" s="6" t="str">
        <f>'Input Cost'!A21</f>
        <v xml:space="preserve">Taxi </v>
      </c>
      <c r="I6" s="6" t="s">
        <v>27</v>
      </c>
      <c r="J6" s="6" t="s">
        <v>35</v>
      </c>
      <c r="K6" s="6" t="str">
        <f>'Input Cost'!A19</f>
        <v>Core-Drive</v>
      </c>
      <c r="L6" s="6" t="str">
        <f>'Input Cost'!A20</f>
        <v>Outsourced</v>
      </c>
      <c r="M6" s="6" t="str">
        <f>'Input Cost'!A21</f>
        <v xml:space="preserve">Taxi </v>
      </c>
    </row>
    <row r="7" spans="1:14" x14ac:dyDescent="0.3">
      <c r="C7" s="6">
        <v>0.01</v>
      </c>
      <c r="D7" s="6">
        <f>Constraints!$B$3*C7</f>
        <v>1.2</v>
      </c>
      <c r="E7" s="17">
        <f>('Input Cost'!$D$6+'Input Cost'!$B$19*D7)/D7</f>
        <v>49.310286805555556</v>
      </c>
      <c r="F7" s="17">
        <f>('Input Cost'!$D$7+'Input Cost'!$B$20*D7)/D7</f>
        <v>33.333333333333336</v>
      </c>
      <c r="G7" s="17">
        <f>IF(D7&lt;'Input Cost'!F21,'Input Cost'!D21,((('Input Cost'!$B$21*(D7-'Input Cost'!F21)+'Input Cost'!$D$21)/D7)))*(1-'Input Cost'!$H$21/100)</f>
        <v>1.2749999999999999</v>
      </c>
      <c r="I7" s="6">
        <v>0.01</v>
      </c>
      <c r="J7" s="6">
        <f>Constraints!$B$3*I7</f>
        <v>1.2</v>
      </c>
      <c r="K7" s="17">
        <f>('Input Cost'!$D$6/Constraints!$B$4+'Input Cost'!$B$19*J7)/J7</f>
        <v>9.9580573611111109</v>
      </c>
      <c r="L7" s="17">
        <f>('Input Cost'!$D$7/Constraints!$C$4+'Input Cost'!$B$20*J7)/J7</f>
        <v>6.666666666666667</v>
      </c>
      <c r="M7" s="17">
        <f>IF(J7&lt;'Input Cost'!F21,'Input Cost'!D21,((('Input Cost'!$B$21*(J7-'Input Cost'!F21)+'Input Cost'!$D$21)/J7)))*(1-'Input Cost'!$H$21/100)</f>
        <v>1.2749999999999999</v>
      </c>
    </row>
    <row r="8" spans="1:14" x14ac:dyDescent="0.3">
      <c r="C8" s="6">
        <v>0.02</v>
      </c>
      <c r="D8" s="6">
        <f>Constraints!$B$3*C8</f>
        <v>2.4</v>
      </c>
      <c r="E8" s="17">
        <f>('Input Cost'!$D$6+'Input Cost'!$B$19*D8)/D8</f>
        <v>24.715143402777777</v>
      </c>
      <c r="F8" s="17">
        <f>('Input Cost'!$D$7+'Input Cost'!$B$20*D8)/D8</f>
        <v>16.666666666666668</v>
      </c>
      <c r="G8" s="17">
        <f>IF(D8&lt;'Input Cost'!F22,'Input Cost'!D22,((('Input Cost'!$B$21*(D8-'Input Cost'!F22)+'Input Cost'!$D$21)/D8)))*(1-'Input Cost'!$H$21/100)</f>
        <v>1.04125</v>
      </c>
      <c r="I8" s="6">
        <v>0.02</v>
      </c>
      <c r="J8" s="6">
        <f>Constraints!$B$3*I8</f>
        <v>2.4</v>
      </c>
      <c r="K8" s="17">
        <f>('Input Cost'!$D$6/Constraints!$B$4+'Input Cost'!$B$19*J8)/J8</f>
        <v>5.0390286805555551</v>
      </c>
      <c r="L8" s="17">
        <f>('Input Cost'!$D$7/Constraints!$C$4+'Input Cost'!$B$20*J8)/J8</f>
        <v>3.3333333333333335</v>
      </c>
      <c r="M8" s="17">
        <f>IF(J8&lt;'Input Cost'!F22,'Input Cost'!D22,((('Input Cost'!$B$21*(J8-'Input Cost'!F22)+'Input Cost'!$D$21)/J8)))*(1-'Input Cost'!$H$21/100)</f>
        <v>1.04125</v>
      </c>
    </row>
    <row r="9" spans="1:14" x14ac:dyDescent="0.3">
      <c r="C9" s="6">
        <v>0.05</v>
      </c>
      <c r="D9" s="6">
        <f>Constraints!$B$3*C9</f>
        <v>6</v>
      </c>
      <c r="E9" s="17">
        <f>('Input Cost'!$D$6+'Input Cost'!$B$19*D9)/D9</f>
        <v>9.9580573611111109</v>
      </c>
      <c r="F9" s="17">
        <f>('Input Cost'!$D$7+'Input Cost'!$B$20*D9)/D9</f>
        <v>6.666666666666667</v>
      </c>
      <c r="G9" s="17">
        <f>IF(D9&lt;'Input Cost'!F23,'Input Cost'!D23,((('Input Cost'!$B$21*(D9-'Input Cost'!F23)+'Input Cost'!$D$21)/D9)))*(1-'Input Cost'!$H$21/100)</f>
        <v>0.72249999999999992</v>
      </c>
      <c r="I9" s="6">
        <v>0.05</v>
      </c>
      <c r="J9" s="6">
        <f>Constraints!$B$3*I9</f>
        <v>6</v>
      </c>
      <c r="K9" s="17">
        <f>('Input Cost'!$D$6/Constraints!$B$4+'Input Cost'!$B$19*J9)/J9</f>
        <v>2.0876114722222221</v>
      </c>
      <c r="L9" s="17">
        <f>('Input Cost'!$D$7/Constraints!$C$4+'Input Cost'!$B$20*J9)/J9</f>
        <v>1.3333333333333333</v>
      </c>
      <c r="M9" s="17">
        <f>IF(J9&lt;'Input Cost'!F23,'Input Cost'!D23,((('Input Cost'!$B$21*(J9-'Input Cost'!F23)+'Input Cost'!$D$21)/J9)))*(1-'Input Cost'!$H$21/100)</f>
        <v>0.72249999999999992</v>
      </c>
    </row>
    <row r="10" spans="1:14" x14ac:dyDescent="0.3">
      <c r="C10" s="6">
        <v>0.1</v>
      </c>
      <c r="D10" s="6">
        <f>Constraints!$B$3*C10</f>
        <v>12</v>
      </c>
      <c r="E10" s="17">
        <f>('Input Cost'!$D$6+'Input Cost'!$B$19*D10)/D10</f>
        <v>5.0390286805555551</v>
      </c>
      <c r="F10" s="17">
        <f>('Input Cost'!$D$7+'Input Cost'!$B$20*D10)/D10</f>
        <v>3.3333333333333335</v>
      </c>
      <c r="G10" s="17">
        <f>IF(D10&lt;'Input Cost'!F24,'Input Cost'!D24,((('Input Cost'!$B$21*(D10-'Input Cost'!F24)+'Input Cost'!$D$21)/D10)))*(1-'Input Cost'!$H$21/100)</f>
        <v>0.61624999999999996</v>
      </c>
      <c r="I10" s="6">
        <v>0.1</v>
      </c>
      <c r="J10" s="6">
        <f>Constraints!$B$3*I10</f>
        <v>12</v>
      </c>
      <c r="K10" s="17">
        <f>('Input Cost'!$D$6/Constraints!$B$4+'Input Cost'!$B$19*J10)/J10</f>
        <v>1.1038057361111109</v>
      </c>
      <c r="L10" s="17">
        <f>('Input Cost'!$D$7/Constraints!$C$4+'Input Cost'!$B$20*J10)/J10</f>
        <v>0.66666666666666663</v>
      </c>
      <c r="M10" s="17">
        <f>IF(J10&lt;'Input Cost'!F24,'Input Cost'!D24,((('Input Cost'!$B$21*(J10-'Input Cost'!F24)+'Input Cost'!$D$21)/J10)))*(1-'Input Cost'!$H$21/100)</f>
        <v>0.61624999999999996</v>
      </c>
    </row>
    <row r="11" spans="1:14" ht="21" x14ac:dyDescent="0.4">
      <c r="A11" s="20" t="s">
        <v>96</v>
      </c>
      <c r="C11" s="6">
        <v>0.2</v>
      </c>
      <c r="D11" s="6">
        <f>Constraints!$B$3*C11</f>
        <v>24</v>
      </c>
      <c r="E11" s="17">
        <f>('Input Cost'!$D$6+'Input Cost'!$B$19*D11)/D11</f>
        <v>2.5795143402777776</v>
      </c>
      <c r="F11" s="17">
        <f>('Input Cost'!$D$7+'Input Cost'!$B$20*D11)/D11</f>
        <v>1.6666666666666667</v>
      </c>
      <c r="G11" s="17">
        <f>IF(D11&lt;'Input Cost'!F25,'Input Cost'!D25,((('Input Cost'!$B$21*(D11-'Input Cost'!F25)+'Input Cost'!$D$21)/D11)))*(1-'Input Cost'!$H$21/100)</f>
        <v>0.56312499999999999</v>
      </c>
      <c r="I11" s="6">
        <v>0.2</v>
      </c>
      <c r="J11" s="6">
        <f>Constraints!$B$3*I11</f>
        <v>24</v>
      </c>
      <c r="K11" s="17">
        <f>('Input Cost'!$D$6/Constraints!$B$4+'Input Cost'!$B$19*J11)/J11</f>
        <v>0.61190286805555549</v>
      </c>
      <c r="L11" s="17">
        <f>('Input Cost'!$D$7/Constraints!$C$4+'Input Cost'!$B$20*J11)/J11</f>
        <v>0.33333333333333331</v>
      </c>
      <c r="M11" s="17">
        <f>IF(J11&lt;'Input Cost'!F25,'Input Cost'!D25,((('Input Cost'!$B$21*(J11-'Input Cost'!F25)+'Input Cost'!$D$21)/J11)))*(1-'Input Cost'!$H$21/100)</f>
        <v>0.56312499999999999</v>
      </c>
    </row>
    <row r="12" spans="1:14" x14ac:dyDescent="0.3">
      <c r="C12" s="6">
        <v>0.3</v>
      </c>
      <c r="D12" s="6">
        <f>Constraints!$B$3*C12</f>
        <v>36</v>
      </c>
      <c r="E12" s="17">
        <f>('Input Cost'!$D$6+'Input Cost'!$B$19*D12)/D12</f>
        <v>1.7596762268518518</v>
      </c>
      <c r="F12" s="17">
        <f>('Input Cost'!$D$7+'Input Cost'!$B$20*D12)/D12</f>
        <v>1.1111111111111112</v>
      </c>
      <c r="G12" s="17">
        <f>IF(D12&lt;'Input Cost'!F26,'Input Cost'!D26,((('Input Cost'!$B$21*(D12-'Input Cost'!F26)+'Input Cost'!$D$21)/D12)))*(1-'Input Cost'!$H$21/100)</f>
        <v>0.54541666666666655</v>
      </c>
      <c r="I12" s="6">
        <v>0.3</v>
      </c>
      <c r="J12" s="6">
        <f>Constraints!$B$3*I12</f>
        <v>36</v>
      </c>
      <c r="K12" s="17">
        <f>('Input Cost'!$D$6/Constraints!$B$4+'Input Cost'!$B$19*J12)/J12</f>
        <v>0.44793524537037033</v>
      </c>
      <c r="L12" s="17">
        <f>('Input Cost'!$D$7/Constraints!$C$4+'Input Cost'!$B$20*J12)/J12</f>
        <v>0.22222222222222221</v>
      </c>
      <c r="M12" s="17">
        <f>IF(J12&lt;'Input Cost'!F26,'Input Cost'!D26,((('Input Cost'!$B$21*(J12-'Input Cost'!F26)+'Input Cost'!$D$21)/J12)))*(1-'Input Cost'!$H$21/100)</f>
        <v>0.54541666666666655</v>
      </c>
    </row>
    <row r="13" spans="1:14" x14ac:dyDescent="0.3">
      <c r="C13" s="6">
        <v>0.4</v>
      </c>
      <c r="D13" s="6">
        <f>Constraints!$B$3*C13</f>
        <v>48</v>
      </c>
      <c r="E13" s="17">
        <f>('Input Cost'!$D$6+'Input Cost'!$B$19*D13)/D13</f>
        <v>1.3497571701388889</v>
      </c>
      <c r="F13" s="17">
        <f>('Input Cost'!$D$7+'Input Cost'!$B$20*D13)/D13</f>
        <v>0.83333333333333337</v>
      </c>
      <c r="G13" s="17">
        <f>IF(D13&lt;'Input Cost'!F27,'Input Cost'!D27,((('Input Cost'!$B$21*(D13-'Input Cost'!F27)+'Input Cost'!$D$21)/D13)))*(1-'Input Cost'!$H$21/100)</f>
        <v>0.53656249999999994</v>
      </c>
      <c r="I13" s="6">
        <v>0.4</v>
      </c>
      <c r="J13" s="6">
        <f>Constraints!$B$3*I13</f>
        <v>48</v>
      </c>
      <c r="K13" s="17">
        <f>('Input Cost'!$D$6/Constraints!$B$4+'Input Cost'!$B$19*J13)/J13</f>
        <v>0.3659514340277778</v>
      </c>
      <c r="L13" s="17">
        <f>('Input Cost'!$D$7/Constraints!$C$4+'Input Cost'!$B$20*J13)/J13</f>
        <v>0.16666666666666666</v>
      </c>
      <c r="M13" s="17">
        <f>IF(J13&lt;'Input Cost'!F27,'Input Cost'!D27,((('Input Cost'!$B$21*(J13-'Input Cost'!F27)+'Input Cost'!$D$21)/J13)))*(1-'Input Cost'!$H$21/100)</f>
        <v>0.53656249999999994</v>
      </c>
    </row>
    <row r="14" spans="1:14" x14ac:dyDescent="0.3">
      <c r="C14" s="6">
        <v>0.5</v>
      </c>
      <c r="D14" s="6">
        <f>Constraints!$B$3*C14</f>
        <v>60</v>
      </c>
      <c r="E14" s="17">
        <f>('Input Cost'!$D$6+'Input Cost'!$B$19*D14)/D14</f>
        <v>1.1038057361111109</v>
      </c>
      <c r="F14" s="17">
        <f>('Input Cost'!$D$7+'Input Cost'!$B$20*D14)/D14</f>
        <v>0.66666666666666663</v>
      </c>
      <c r="G14" s="17">
        <f>IF(D14&lt;'Input Cost'!F28,'Input Cost'!D28,((('Input Cost'!$B$21*(D14-'Input Cost'!F28)+'Input Cost'!$D$21)/D14)))*(1-'Input Cost'!$H$21/100)</f>
        <v>0.53125</v>
      </c>
      <c r="I14" s="6">
        <v>0.5</v>
      </c>
      <c r="J14" s="6">
        <f>Constraints!$B$3*I14</f>
        <v>60</v>
      </c>
      <c r="K14" s="17">
        <f>('Input Cost'!$D$6/Constraints!$B$4+'Input Cost'!$B$19*J14)/J14</f>
        <v>0.31676114722222221</v>
      </c>
      <c r="L14" s="17">
        <f>('Input Cost'!$D$7/Constraints!$C$4+'Input Cost'!$B$20*J14)/J14</f>
        <v>0.13333333333333333</v>
      </c>
      <c r="M14" s="17">
        <f>IF(J14&lt;'Input Cost'!F28,'Input Cost'!D28,((('Input Cost'!$B$21*(J14-'Input Cost'!F28)+'Input Cost'!$D$21)/J14)))*(1-'Input Cost'!$H$21/100)</f>
        <v>0.53125</v>
      </c>
    </row>
    <row r="15" spans="1:14" x14ac:dyDescent="0.3">
      <c r="C15" s="6">
        <v>0.6</v>
      </c>
      <c r="D15" s="6">
        <f>Constraints!$B$3*C15</f>
        <v>72</v>
      </c>
      <c r="E15" s="17">
        <f>('Input Cost'!$D$6+'Input Cost'!$B$19*D15)/D15</f>
        <v>0.93983811342592583</v>
      </c>
      <c r="F15" s="17">
        <f>('Input Cost'!$D$7+'Input Cost'!$B$20*D15)/D15</f>
        <v>0.55555555555555558</v>
      </c>
      <c r="G15" s="17">
        <f>IF(D15&lt;'Input Cost'!F29,'Input Cost'!D29,((('Input Cost'!$B$21*(D15-'Input Cost'!F29)+'Input Cost'!$D$21)/D15)))*(1-'Input Cost'!$H$21/100)</f>
        <v>0.52770833333333322</v>
      </c>
      <c r="I15" s="6">
        <v>0.6</v>
      </c>
      <c r="J15" s="6">
        <f>Constraints!$B$3*I15</f>
        <v>72</v>
      </c>
      <c r="K15" s="17">
        <f>('Input Cost'!$D$6/Constraints!$B$4+'Input Cost'!$B$19*J15)/J15</f>
        <v>0.28396762268518516</v>
      </c>
      <c r="L15" s="17">
        <f>('Input Cost'!$D$7/Constraints!$C$4+'Input Cost'!$B$20*J15)/J15</f>
        <v>0.1111111111111111</v>
      </c>
      <c r="M15" s="17">
        <f>IF(J15&lt;'Input Cost'!F29,'Input Cost'!D29,((('Input Cost'!$B$21*(J15-'Input Cost'!F29)+'Input Cost'!$D$21)/J15)))*(1-'Input Cost'!$H$21/100)</f>
        <v>0.52770833333333322</v>
      </c>
    </row>
    <row r="16" spans="1:14" x14ac:dyDescent="0.3">
      <c r="C16" s="6">
        <v>0.7</v>
      </c>
      <c r="D16" s="6">
        <f>Constraints!$B$3*C16</f>
        <v>84</v>
      </c>
      <c r="E16" s="17">
        <f>('Input Cost'!$D$6+'Input Cost'!$B$19*D16)/D16</f>
        <v>0.82271838293650801</v>
      </c>
      <c r="F16" s="17">
        <f>('Input Cost'!$D$7+'Input Cost'!$B$20*D16)/D16</f>
        <v>0.47619047619047616</v>
      </c>
      <c r="G16" s="17">
        <f>IF(D16&lt;'Input Cost'!F30,'Input Cost'!D30,((('Input Cost'!$B$21*(D16-'Input Cost'!F30)+'Input Cost'!$D$21)/D16)))*(1-'Input Cost'!$H$21/100)</f>
        <v>0.52517857142857138</v>
      </c>
      <c r="I16" s="6">
        <v>0.7</v>
      </c>
      <c r="J16" s="6">
        <f>Constraints!$B$3*I16</f>
        <v>84</v>
      </c>
      <c r="K16" s="17">
        <f>('Input Cost'!$D$6/Constraints!$B$4+'Input Cost'!$B$19*J16)/J16</f>
        <v>0.2605436765873016</v>
      </c>
      <c r="L16" s="17">
        <f>('Input Cost'!$D$7/Constraints!$C$4+'Input Cost'!$B$20*J16)/J16</f>
        <v>9.5238095238095233E-2</v>
      </c>
      <c r="M16" s="17">
        <f>IF(J16&lt;'Input Cost'!F30,'Input Cost'!D30,((('Input Cost'!$B$21*(J16-'Input Cost'!F30)+'Input Cost'!$D$21)/J16)))*(1-'Input Cost'!$H$21/100)</f>
        <v>0.52517857142857138</v>
      </c>
    </row>
    <row r="17" spans="1:13" x14ac:dyDescent="0.3">
      <c r="C17" s="6">
        <v>0.8</v>
      </c>
      <c r="D17" s="6">
        <f>Constraints!$B$3*C17</f>
        <v>96</v>
      </c>
      <c r="E17" s="17">
        <f>('Input Cost'!$D$6+'Input Cost'!$B$19*D17)/D17</f>
        <v>0.73487858506944448</v>
      </c>
      <c r="F17" s="17">
        <f>('Input Cost'!$D$7+'Input Cost'!$B$20*D17)/D17</f>
        <v>0.41666666666666669</v>
      </c>
      <c r="G17" s="17">
        <f>IF(D17&lt;'Input Cost'!F31,'Input Cost'!D31,((('Input Cost'!$B$21*(D17-'Input Cost'!F31)+'Input Cost'!$D$21)/D17)))*(1-'Input Cost'!$H$21/100)</f>
        <v>0.52328124999999992</v>
      </c>
      <c r="I17" s="6">
        <v>0.8</v>
      </c>
      <c r="J17" s="6">
        <f>Constraints!$B$3*I17</f>
        <v>96</v>
      </c>
      <c r="K17" s="17">
        <f>('Input Cost'!$D$6/Constraints!$B$4+'Input Cost'!$B$19*J17)/J17</f>
        <v>0.24297571701388887</v>
      </c>
      <c r="L17" s="17">
        <f>('Input Cost'!$D$7/Constraints!$C$4+'Input Cost'!$B$20*J17)/J17</f>
        <v>8.3333333333333329E-2</v>
      </c>
      <c r="M17" s="17">
        <f>IF(J17&lt;'Input Cost'!F31,'Input Cost'!D31,((('Input Cost'!$B$21*(J17-'Input Cost'!F31)+'Input Cost'!$D$21)/J17)))*(1-'Input Cost'!$H$21/100)</f>
        <v>0.52328124999999992</v>
      </c>
    </row>
    <row r="18" spans="1:13" x14ac:dyDescent="0.3">
      <c r="C18" s="6">
        <v>0.9</v>
      </c>
      <c r="D18" s="6">
        <f>Constraints!$B$3*C18</f>
        <v>108</v>
      </c>
      <c r="E18" s="17">
        <f>('Input Cost'!$D$6+'Input Cost'!$B$19*D18)/D18</f>
        <v>0.66655874228395062</v>
      </c>
      <c r="F18" s="17">
        <f>('Input Cost'!$D$7+'Input Cost'!$B$20*D18)/D18</f>
        <v>0.37037037037037035</v>
      </c>
      <c r="G18" s="17">
        <f>IF(D18&lt;'Input Cost'!F32,'Input Cost'!D32,((('Input Cost'!$B$21*(D18-'Input Cost'!F32)+'Input Cost'!$D$21)/D18)))*(1-'Input Cost'!$H$21/100)</f>
        <v>0.52180555555555552</v>
      </c>
      <c r="I18" s="6">
        <v>0.9</v>
      </c>
      <c r="J18" s="6">
        <f>Constraints!$B$3*I18</f>
        <v>108</v>
      </c>
      <c r="K18" s="17">
        <f>('Input Cost'!$D$6/Constraints!$B$4+'Input Cost'!$B$19*J18)/J18</f>
        <v>0.22931174845679009</v>
      </c>
      <c r="L18" s="17">
        <f>('Input Cost'!$D$7/Constraints!$C$4+'Input Cost'!$B$20*J18)/J18</f>
        <v>7.407407407407407E-2</v>
      </c>
      <c r="M18" s="17">
        <f>IF(J18&lt;'Input Cost'!F32,'Input Cost'!D32,((('Input Cost'!$B$21*(J18-'Input Cost'!F32)+'Input Cost'!$D$21)/J18)))*(1-'Input Cost'!$H$21/100)</f>
        <v>0.52180555555555552</v>
      </c>
    </row>
    <row r="19" spans="1:13" x14ac:dyDescent="0.3">
      <c r="C19" s="6">
        <v>1</v>
      </c>
      <c r="D19" s="6">
        <f>Constraints!$B$3*C19</f>
        <v>120</v>
      </c>
      <c r="E19" s="17">
        <f>('Input Cost'!$D$6+'Input Cost'!$B$19*D19)/D19</f>
        <v>0.61190286805555549</v>
      </c>
      <c r="F19" s="17">
        <f>('Input Cost'!$D$7+'Input Cost'!$B$20*D19)/D19</f>
        <v>0.33333333333333331</v>
      </c>
      <c r="G19" s="17">
        <f>IF(D19&lt;'Input Cost'!F33,'Input Cost'!D33,((('Input Cost'!$B$21*(D19-'Input Cost'!F33)+'Input Cost'!$D$21)/D19)))*(1-'Input Cost'!$H$21/100)</f>
        <v>0.520625</v>
      </c>
      <c r="I19" s="6">
        <v>1</v>
      </c>
      <c r="J19" s="6">
        <f>Constraints!$B$3*I19</f>
        <v>120</v>
      </c>
      <c r="K19" s="17">
        <f>('Input Cost'!$D$6/Constraints!$B$4+'Input Cost'!$B$19*J19)/J19</f>
        <v>0.2183805736111111</v>
      </c>
      <c r="L19" s="17">
        <f>('Input Cost'!$D$7/Constraints!$C$4+'Input Cost'!$B$20*J19)/J19</f>
        <v>6.6666666666666666E-2</v>
      </c>
      <c r="M19" s="17">
        <f>IF(J19&lt;'Input Cost'!F33,'Input Cost'!D33,((('Input Cost'!$B$21*(J19-'Input Cost'!F33)+'Input Cost'!$D$21)/J19)))*(1-'Input Cost'!$H$21/100)</f>
        <v>0.520625</v>
      </c>
    </row>
    <row r="21" spans="1:13" x14ac:dyDescent="0.3">
      <c r="C21" s="11" t="s">
        <v>37</v>
      </c>
      <c r="E21" s="141" t="s">
        <v>36</v>
      </c>
      <c r="F21" s="141"/>
      <c r="G21" s="141"/>
    </row>
    <row r="22" spans="1:13" x14ac:dyDescent="0.3">
      <c r="E22" s="6" t="s">
        <v>1</v>
      </c>
      <c r="F22" s="6" t="s">
        <v>34</v>
      </c>
      <c r="G22" s="6" t="s">
        <v>49</v>
      </c>
      <c r="H22" s="6" t="s">
        <v>33</v>
      </c>
    </row>
    <row r="24" spans="1:13" ht="15" thickBot="1" x14ac:dyDescent="0.35"/>
    <row r="25" spans="1:13" ht="15" thickBot="1" x14ac:dyDescent="0.35">
      <c r="B25" s="95" t="s">
        <v>28</v>
      </c>
      <c r="C25" s="80" t="s">
        <v>54</v>
      </c>
      <c r="D25" s="120" t="s">
        <v>65</v>
      </c>
      <c r="E25" s="120" t="s">
        <v>66</v>
      </c>
      <c r="F25" s="120" t="s">
        <v>67</v>
      </c>
      <c r="G25" s="120" t="s">
        <v>30</v>
      </c>
      <c r="H25" s="121" t="s">
        <v>31</v>
      </c>
    </row>
    <row r="26" spans="1:13" ht="21" x14ac:dyDescent="0.4">
      <c r="A26" s="20" t="s">
        <v>4</v>
      </c>
      <c r="B26" s="86" t="str">
        <f>'Input Cost'!A19</f>
        <v>Core-Drive</v>
      </c>
      <c r="C26" s="86">
        <f>Solver!B14</f>
        <v>0</v>
      </c>
      <c r="D26" s="87">
        <f>Solver!B18</f>
        <v>0</v>
      </c>
      <c r="E26" s="87">
        <f>Solver!C18</f>
        <v>0</v>
      </c>
      <c r="F26" s="87">
        <f>Solver!D18</f>
        <v>0</v>
      </c>
      <c r="G26" s="87">
        <f>SUM(D26:F26)</f>
        <v>0</v>
      </c>
      <c r="H26" s="88">
        <f>Solver!E18</f>
        <v>0</v>
      </c>
    </row>
    <row r="27" spans="1:13" x14ac:dyDescent="0.3">
      <c r="B27" s="86" t="str">
        <f>'Input Cost'!A20</f>
        <v>Outsourced</v>
      </c>
      <c r="C27" s="86">
        <f>Solver!B15</f>
        <v>13</v>
      </c>
      <c r="D27" s="87">
        <f>Solver!B19</f>
        <v>2</v>
      </c>
      <c r="E27" s="87">
        <f>Solver!C19</f>
        <v>13</v>
      </c>
      <c r="F27" s="87">
        <f>Solver!D19</f>
        <v>5</v>
      </c>
      <c r="G27" s="87">
        <f>SUM(D27:F27)</f>
        <v>20</v>
      </c>
      <c r="H27" s="88">
        <f>Solver!E19</f>
        <v>1545</v>
      </c>
    </row>
    <row r="28" spans="1:13" ht="15" thickBot="1" x14ac:dyDescent="0.35">
      <c r="A28" s="124" t="s">
        <v>124</v>
      </c>
      <c r="B28" s="89" t="str">
        <f>'Input Cost'!A21&amp;" "&amp;A28</f>
        <v>Taxi  Trips</v>
      </c>
      <c r="C28" s="110">
        <f>SUM(D28:F28)</f>
        <v>18</v>
      </c>
      <c r="D28" s="90">
        <f>Solver!B20</f>
        <v>17</v>
      </c>
      <c r="E28" s="90">
        <f>Solver!C20</f>
        <v>0</v>
      </c>
      <c r="F28" s="90">
        <f>Solver!D20</f>
        <v>1</v>
      </c>
      <c r="G28" s="90">
        <f>SUM(D28:F28)</f>
        <v>18</v>
      </c>
      <c r="H28" s="91">
        <f>Solver!E20</f>
        <v>306</v>
      </c>
    </row>
    <row r="50" spans="2:2" x14ac:dyDescent="0.3">
      <c r="B50" s="11"/>
    </row>
  </sheetData>
  <mergeCells count="3">
    <mergeCell ref="E5:G5"/>
    <mergeCell ref="E21:G21"/>
    <mergeCell ref="L5:N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J33"/>
  <sheetViews>
    <sheetView zoomScale="70" zoomScaleNormal="70" workbookViewId="0">
      <selection activeCell="C6" sqref="C6"/>
    </sheetView>
  </sheetViews>
  <sheetFormatPr defaultColWidth="8.77734375" defaultRowHeight="14.4" x14ac:dyDescent="0.3"/>
  <cols>
    <col min="1" max="1" width="29.44140625" style="6" bestFit="1" customWidth="1"/>
    <col min="2" max="2" width="26.77734375" style="6" bestFit="1" customWidth="1"/>
    <col min="3" max="3" width="36.21875" style="6" bestFit="1" customWidth="1"/>
    <col min="4" max="4" width="8.77734375" style="6"/>
    <col min="5" max="5" width="19.5546875" style="6" bestFit="1" customWidth="1"/>
    <col min="6" max="6" width="26.77734375" style="6" bestFit="1" customWidth="1"/>
    <col min="7" max="7" width="29" style="6" bestFit="1" customWidth="1"/>
    <col min="8" max="8" width="36.88671875" style="6" bestFit="1" customWidth="1"/>
    <col min="9" max="9" width="28.88671875" style="6" bestFit="1" customWidth="1"/>
    <col min="10" max="10" width="10.5546875" style="6" bestFit="1" customWidth="1"/>
    <col min="11" max="16384" width="8.77734375" style="6"/>
  </cols>
  <sheetData>
    <row r="2" spans="1:10" x14ac:dyDescent="0.3">
      <c r="A2" s="13" t="s">
        <v>131</v>
      </c>
      <c r="B2" s="69">
        <v>250</v>
      </c>
      <c r="C2" s="66" t="s">
        <v>109</v>
      </c>
    </row>
    <row r="4" spans="1:10" x14ac:dyDescent="0.3">
      <c r="A4" s="13" t="s">
        <v>144</v>
      </c>
      <c r="B4" s="68">
        <v>25</v>
      </c>
      <c r="C4" s="66" t="s">
        <v>109</v>
      </c>
    </row>
    <row r="5" spans="1:10" x14ac:dyDescent="0.3">
      <c r="A5" s="11" t="s">
        <v>102</v>
      </c>
      <c r="B5" s="11" t="s">
        <v>111</v>
      </c>
      <c r="C5" s="11"/>
      <c r="D5" s="11"/>
      <c r="E5" s="11" t="s">
        <v>121</v>
      </c>
      <c r="F5" s="11" t="s">
        <v>133</v>
      </c>
      <c r="G5" s="11" t="s">
        <v>122</v>
      </c>
      <c r="H5" s="11" t="s">
        <v>134</v>
      </c>
      <c r="I5" s="11" t="s">
        <v>135</v>
      </c>
      <c r="J5" s="11" t="s">
        <v>112</v>
      </c>
    </row>
    <row r="6" spans="1:10" x14ac:dyDescent="0.3">
      <c r="A6" s="13" t="s">
        <v>110</v>
      </c>
      <c r="B6" s="122">
        <f>12869.3333333333</f>
        <v>12869.333333333299</v>
      </c>
      <c r="C6" s="66" t="str">
        <f>CONCATENATE('Input Cost'!$B$3,"/period")</f>
        <v>Euro/period</v>
      </c>
      <c r="E6" s="17">
        <f>B6/$B$4</f>
        <v>514.77333333333195</v>
      </c>
      <c r="F6" s="17">
        <f>E6*'Cost Savings Opportunity'!$B$2</f>
        <v>128693.33333333299</v>
      </c>
      <c r="G6" s="17">
        <f>G17*'Input Cost'!D9</f>
        <v>0</v>
      </c>
      <c r="H6" s="17">
        <f>G6*'Cost Savings Opportunity'!$B$2</f>
        <v>0</v>
      </c>
      <c r="I6" s="17">
        <f>F6-H6</f>
        <v>128693.33333333299</v>
      </c>
      <c r="J6" s="17">
        <f>IF(F6&lt;&gt;0,(F6-H6)/F6*100,0)</f>
        <v>100</v>
      </c>
    </row>
    <row r="7" spans="1:10" x14ac:dyDescent="0.3">
      <c r="A7" s="13" t="s">
        <v>42</v>
      </c>
      <c r="B7" s="122">
        <v>4549.1366666666663</v>
      </c>
      <c r="C7" s="66" t="str">
        <f>CONCATENATE('Input Cost'!$B$3,"/period")</f>
        <v>Euro/period</v>
      </c>
      <c r="E7" s="17">
        <f t="shared" ref="E7:E14" si="0">B7/$B$4</f>
        <v>181.96546666666666</v>
      </c>
      <c r="F7" s="17">
        <f>E7*'Cost Savings Opportunity'!$B$2</f>
        <v>45491.366666666661</v>
      </c>
      <c r="G7" s="17">
        <f>G17*'Input Cost'!D10</f>
        <v>0</v>
      </c>
      <c r="H7" s="17">
        <f>G7*'Cost Savings Opportunity'!$B$2</f>
        <v>0</v>
      </c>
      <c r="I7" s="17">
        <f t="shared" ref="I7:I14" si="1">F7-H7</f>
        <v>45491.366666666661</v>
      </c>
      <c r="J7" s="17">
        <f t="shared" ref="J7:J17" si="2">IF(F7&lt;&gt;0,(F7-H7)/F7*100,0)</f>
        <v>100</v>
      </c>
    </row>
    <row r="8" spans="1:10" x14ac:dyDescent="0.3">
      <c r="A8" s="13" t="s">
        <v>43</v>
      </c>
      <c r="B8" s="122">
        <v>15695</v>
      </c>
      <c r="C8" s="66" t="str">
        <f>CONCATENATE('Input Cost'!$B$3,"/period")</f>
        <v>Euro/period</v>
      </c>
      <c r="E8" s="17">
        <f t="shared" si="0"/>
        <v>627.79999999999995</v>
      </c>
      <c r="F8" s="17">
        <f>E8*'Cost Savings Opportunity'!$B$2</f>
        <v>156950</v>
      </c>
      <c r="G8" s="17">
        <f>G16*'Input Cost'!D11</f>
        <v>0</v>
      </c>
      <c r="H8" s="17">
        <f>G8*'Cost Savings Opportunity'!$B$2</f>
        <v>0</v>
      </c>
      <c r="I8" s="17">
        <f t="shared" si="1"/>
        <v>156950</v>
      </c>
      <c r="J8" s="17">
        <f t="shared" si="2"/>
        <v>100</v>
      </c>
    </row>
    <row r="9" spans="1:10" x14ac:dyDescent="0.3">
      <c r="A9" s="13" t="s">
        <v>44</v>
      </c>
      <c r="B9" s="122">
        <v>3358.6775000000002</v>
      </c>
      <c r="C9" s="66" t="str">
        <f>CONCATENATE('Input Cost'!$B$3,"/period")</f>
        <v>Euro/period</v>
      </c>
      <c r="E9" s="17">
        <f t="shared" si="0"/>
        <v>134.34710000000001</v>
      </c>
      <c r="F9" s="17">
        <f>E9*'Cost Savings Opportunity'!$B$2</f>
        <v>33586.775000000001</v>
      </c>
      <c r="G9" s="17">
        <f>G17*'Input Cost'!D12</f>
        <v>0</v>
      </c>
      <c r="H9" s="17">
        <f>G9*'Cost Savings Opportunity'!$B$2</f>
        <v>0</v>
      </c>
      <c r="I9" s="17">
        <f>F9-H9</f>
        <v>33586.775000000001</v>
      </c>
      <c r="J9" s="17">
        <f t="shared" si="2"/>
        <v>100</v>
      </c>
    </row>
    <row r="10" spans="1:10" x14ac:dyDescent="0.3">
      <c r="A10" s="13" t="s">
        <v>45</v>
      </c>
      <c r="B10" s="122">
        <v>331.6925</v>
      </c>
      <c r="C10" s="66" t="str">
        <f>CONCATENATE('Input Cost'!$B$3,"/period")</f>
        <v>Euro/period</v>
      </c>
      <c r="E10" s="17">
        <f t="shared" si="0"/>
        <v>13.2677</v>
      </c>
      <c r="F10" s="17">
        <f>E10*'Cost Savings Opportunity'!$B$2</f>
        <v>3316.9249999999997</v>
      </c>
      <c r="G10" s="17">
        <f>G17*'Input Cost'!D13</f>
        <v>0</v>
      </c>
      <c r="H10" s="17">
        <f>G10*'Cost Savings Opportunity'!$B$2</f>
        <v>0</v>
      </c>
      <c r="I10" s="17">
        <f t="shared" si="1"/>
        <v>3316.9249999999997</v>
      </c>
      <c r="J10" s="17">
        <f t="shared" si="2"/>
        <v>100</v>
      </c>
    </row>
    <row r="11" spans="1:10" x14ac:dyDescent="0.3">
      <c r="B11" s="17"/>
      <c r="E11" s="17"/>
      <c r="F11" s="17"/>
      <c r="G11" s="17"/>
      <c r="H11" s="17"/>
      <c r="I11" s="17"/>
      <c r="J11" s="17"/>
    </row>
    <row r="12" spans="1:10" x14ac:dyDescent="0.3">
      <c r="A12" s="13" t="s">
        <v>106</v>
      </c>
      <c r="B12" s="122">
        <v>0</v>
      </c>
      <c r="C12" s="66" t="str">
        <f>CONCATENATE('Input Cost'!$B$3,"/period")</f>
        <v>Euro/period</v>
      </c>
      <c r="E12" s="17">
        <f t="shared" si="0"/>
        <v>0</v>
      </c>
      <c r="F12" s="17">
        <f>E12*'Cost Savings Opportunity'!$B$2</f>
        <v>0</v>
      </c>
      <c r="G12" s="17">
        <f>Solver!B7+Solver!B10</f>
        <v>520</v>
      </c>
      <c r="H12" s="17">
        <f>G12*'Cost Savings Opportunity'!$B$2</f>
        <v>130000</v>
      </c>
      <c r="I12" s="17">
        <f t="shared" si="1"/>
        <v>-130000</v>
      </c>
      <c r="J12" s="17">
        <f t="shared" si="2"/>
        <v>0</v>
      </c>
    </row>
    <row r="13" spans="1:10" x14ac:dyDescent="0.3">
      <c r="A13" s="13" t="s">
        <v>107</v>
      </c>
      <c r="B13" s="122">
        <v>11108.147499999997</v>
      </c>
      <c r="C13" s="66" t="str">
        <f>CONCATENATE('Input Cost'!$B$3,"/period")</f>
        <v>Euro/period</v>
      </c>
      <c r="E13" s="17">
        <f t="shared" si="0"/>
        <v>444.32589999999988</v>
      </c>
      <c r="F13" s="17">
        <f>E13*'Cost Savings Opportunity'!$B$2</f>
        <v>111081.47499999996</v>
      </c>
      <c r="G13" s="17">
        <f>Solver!B11</f>
        <v>165.24</v>
      </c>
      <c r="H13" s="17">
        <f>G13*'Cost Savings Opportunity'!$B$2</f>
        <v>41310</v>
      </c>
      <c r="I13" s="17">
        <f t="shared" si="1"/>
        <v>69771.474999999962</v>
      </c>
      <c r="J13" s="17">
        <f t="shared" si="2"/>
        <v>62.811080785522513</v>
      </c>
    </row>
    <row r="14" spans="1:10" x14ac:dyDescent="0.3">
      <c r="A14" s="13" t="s">
        <v>113</v>
      </c>
      <c r="B14" s="122">
        <f>1418.6825+1319.31</f>
        <v>2737.9924999999998</v>
      </c>
      <c r="C14" s="66" t="str">
        <f>CONCATENATE('Input Cost'!$B$3,"/period")</f>
        <v>Euro/period</v>
      </c>
      <c r="E14" s="17">
        <f t="shared" si="0"/>
        <v>109.5197</v>
      </c>
      <c r="F14" s="17">
        <f>E14*'Cost Savings Opportunity'!$B$2</f>
        <v>27379.924999999999</v>
      </c>
      <c r="G14" s="17">
        <f>Solver!B9</f>
        <v>0</v>
      </c>
      <c r="H14" s="17">
        <f>G14*'Cost Savings Opportunity'!$B$2</f>
        <v>0</v>
      </c>
      <c r="I14" s="17">
        <f t="shared" si="1"/>
        <v>27379.924999999999</v>
      </c>
      <c r="J14" s="17">
        <f t="shared" si="2"/>
        <v>100</v>
      </c>
    </row>
    <row r="16" spans="1:10" x14ac:dyDescent="0.3">
      <c r="A16" s="13" t="s">
        <v>108</v>
      </c>
      <c r="B16" s="68">
        <v>20</v>
      </c>
      <c r="C16" s="66"/>
      <c r="E16" s="21">
        <f>B16</f>
        <v>20</v>
      </c>
      <c r="F16" s="21">
        <f>B16</f>
        <v>20</v>
      </c>
      <c r="G16" s="6">
        <f>Solver!B14</f>
        <v>0</v>
      </c>
      <c r="H16" s="6">
        <f>G16</f>
        <v>0</v>
      </c>
      <c r="I16" s="21">
        <f>F16-H16</f>
        <v>20</v>
      </c>
      <c r="J16" s="6">
        <f t="shared" si="2"/>
        <v>100</v>
      </c>
    </row>
    <row r="17" spans="1:10" x14ac:dyDescent="0.3">
      <c r="A17" s="13" t="s">
        <v>103</v>
      </c>
      <c r="B17" s="68">
        <v>57</v>
      </c>
      <c r="C17" s="66"/>
      <c r="E17" s="21">
        <f>B17</f>
        <v>57</v>
      </c>
      <c r="F17" s="21">
        <f>B17</f>
        <v>57</v>
      </c>
      <c r="G17" s="6">
        <f>Solver!B14</f>
        <v>0</v>
      </c>
      <c r="H17" s="6">
        <f>G17</f>
        <v>0</v>
      </c>
      <c r="I17" s="21">
        <f>F17-H17</f>
        <v>57</v>
      </c>
      <c r="J17" s="6">
        <f t="shared" si="2"/>
        <v>100</v>
      </c>
    </row>
    <row r="22" spans="1:10" x14ac:dyDescent="0.3">
      <c r="B22" s="21"/>
    </row>
    <row r="24" spans="1:10" x14ac:dyDescent="0.3">
      <c r="A24" s="13" t="s">
        <v>102</v>
      </c>
      <c r="B24" s="53" t="str">
        <f>F5</f>
        <v>Status quo (per plot period)</v>
      </c>
      <c r="C24" s="13" t="str">
        <f>H5</f>
        <v>Min. to meet demand (per plot period)</v>
      </c>
    </row>
    <row r="25" spans="1:10" x14ac:dyDescent="0.3">
      <c r="A25" s="13" t="s">
        <v>110</v>
      </c>
      <c r="B25" s="123">
        <f>F6</f>
        <v>128693.33333333299</v>
      </c>
      <c r="C25" s="123">
        <f>H6</f>
        <v>0</v>
      </c>
    </row>
    <row r="26" spans="1:10" x14ac:dyDescent="0.3">
      <c r="A26" s="13" t="s">
        <v>42</v>
      </c>
      <c r="B26" s="123">
        <f t="shared" ref="B26:B33" si="3">F7</f>
        <v>45491.366666666661</v>
      </c>
      <c r="C26" s="123">
        <f t="shared" ref="C26:C33" si="4">H7</f>
        <v>0</v>
      </c>
    </row>
    <row r="27" spans="1:10" x14ac:dyDescent="0.3">
      <c r="A27" s="13" t="s">
        <v>43</v>
      </c>
      <c r="B27" s="123">
        <f t="shared" si="3"/>
        <v>156950</v>
      </c>
      <c r="C27" s="123">
        <f t="shared" si="4"/>
        <v>0</v>
      </c>
    </row>
    <row r="28" spans="1:10" x14ac:dyDescent="0.3">
      <c r="A28" s="13" t="s">
        <v>44</v>
      </c>
      <c r="B28" s="123">
        <f t="shared" si="3"/>
        <v>33586.775000000001</v>
      </c>
      <c r="C28" s="123">
        <f t="shared" si="4"/>
        <v>0</v>
      </c>
    </row>
    <row r="29" spans="1:10" x14ac:dyDescent="0.3">
      <c r="A29" s="13" t="s">
        <v>45</v>
      </c>
      <c r="B29" s="123">
        <f t="shared" si="3"/>
        <v>3316.9249999999997</v>
      </c>
      <c r="C29" s="123">
        <f t="shared" si="4"/>
        <v>0</v>
      </c>
    </row>
    <row r="30" spans="1:10" x14ac:dyDescent="0.3">
      <c r="A30" s="13"/>
      <c r="B30" s="123"/>
      <c r="C30" s="123"/>
    </row>
    <row r="31" spans="1:10" x14ac:dyDescent="0.3">
      <c r="A31" s="13" t="str">
        <f>'Input Cost'!A20</f>
        <v>Outsourced</v>
      </c>
      <c r="B31" s="123">
        <f t="shared" si="3"/>
        <v>0</v>
      </c>
      <c r="C31" s="123">
        <f t="shared" si="4"/>
        <v>130000</v>
      </c>
    </row>
    <row r="32" spans="1:10" x14ac:dyDescent="0.3">
      <c r="A32" s="13" t="str">
        <f>'Input Cost'!A21</f>
        <v xml:space="preserve">Taxi </v>
      </c>
      <c r="B32" s="123">
        <f t="shared" si="3"/>
        <v>111081.47499999996</v>
      </c>
      <c r="C32" s="123">
        <f t="shared" si="4"/>
        <v>41310</v>
      </c>
    </row>
    <row r="33" spans="1:3" x14ac:dyDescent="0.3">
      <c r="A33" s="13" t="s">
        <v>123</v>
      </c>
      <c r="B33" s="123">
        <f t="shared" si="3"/>
        <v>27379.924999999999</v>
      </c>
      <c r="C33" s="123">
        <f t="shared" si="4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</sheetPr>
  <dimension ref="A1:M10"/>
  <sheetViews>
    <sheetView zoomScale="62" zoomScaleNormal="70" workbookViewId="0">
      <selection activeCell="S53" sqref="S53"/>
    </sheetView>
  </sheetViews>
  <sheetFormatPr defaultColWidth="8.77734375" defaultRowHeight="14.4" x14ac:dyDescent="0.3"/>
  <cols>
    <col min="1" max="1" width="8.77734375" style="6"/>
    <col min="2" max="2" width="20.44140625" style="6" bestFit="1" customWidth="1"/>
    <col min="3" max="3" width="25.77734375" style="6" bestFit="1" customWidth="1"/>
    <col min="4" max="4" width="16.109375" style="6" bestFit="1" customWidth="1"/>
    <col min="5" max="5" width="8.44140625" style="6" bestFit="1" customWidth="1"/>
    <col min="6" max="6" width="11.44140625" style="6" bestFit="1" customWidth="1"/>
    <col min="7" max="7" width="15.77734375" style="6" bestFit="1" customWidth="1"/>
    <col min="8" max="8" width="20.33203125" style="6" bestFit="1" customWidth="1"/>
    <col min="9" max="9" width="23.77734375" style="6" bestFit="1" customWidth="1"/>
    <col min="10" max="10" width="22.77734375" style="6" bestFit="1" customWidth="1"/>
    <col min="11" max="11" width="14.6640625" style="6" bestFit="1" customWidth="1"/>
    <col min="12" max="12" width="20.77734375" style="6" bestFit="1" customWidth="1"/>
    <col min="13" max="13" width="33.6640625" style="6" bestFit="1" customWidth="1"/>
    <col min="14" max="16384" width="8.77734375" style="6"/>
  </cols>
  <sheetData>
    <row r="1" spans="1:13" s="18" customFormat="1" x14ac:dyDescent="0.3"/>
    <row r="2" spans="1:13" s="18" customFormat="1" ht="23.4" x14ac:dyDescent="0.45">
      <c r="C2" s="19" t="s">
        <v>97</v>
      </c>
    </row>
    <row r="3" spans="1:13" s="18" customFormat="1" ht="15" thickBot="1" x14ac:dyDescent="0.35"/>
    <row r="4" spans="1:13" ht="15" thickBot="1" x14ac:dyDescent="0.35">
      <c r="A4" s="92"/>
      <c r="B4" s="92"/>
      <c r="C4" s="93" t="s">
        <v>31</v>
      </c>
      <c r="D4" s="94" t="s">
        <v>46</v>
      </c>
      <c r="E4" s="142" t="s">
        <v>77</v>
      </c>
      <c r="F4" s="142"/>
      <c r="G4" s="142"/>
      <c r="H4" s="143"/>
      <c r="I4" s="95" t="s">
        <v>48</v>
      </c>
      <c r="J4" s="94" t="s">
        <v>105</v>
      </c>
      <c r="K4" s="94" t="s">
        <v>47</v>
      </c>
      <c r="L4" s="94" t="s">
        <v>120</v>
      </c>
      <c r="M4" s="94" t="s">
        <v>132</v>
      </c>
    </row>
    <row r="5" spans="1:13" ht="15" thickBot="1" x14ac:dyDescent="0.35">
      <c r="A5" s="80"/>
      <c r="B5" s="80" t="s">
        <v>118</v>
      </c>
      <c r="C5" s="96"/>
      <c r="D5" s="95"/>
      <c r="E5" s="97" t="s">
        <v>79</v>
      </c>
      <c r="F5" s="97" t="s">
        <v>76</v>
      </c>
      <c r="G5" s="97" t="s">
        <v>80</v>
      </c>
      <c r="H5" s="98" t="s">
        <v>81</v>
      </c>
      <c r="I5" s="95"/>
      <c r="J5" s="95"/>
      <c r="K5" s="95"/>
      <c r="L5" s="95"/>
      <c r="M5" s="95"/>
    </row>
    <row r="6" spans="1:13" x14ac:dyDescent="0.3">
      <c r="A6" s="117">
        <v>1</v>
      </c>
      <c r="B6" s="99" t="str">
        <f>'Input Cost'!A19</f>
        <v>Core-Drive</v>
      </c>
      <c r="C6" s="99">
        <f>SUMPRODUCT(Constraints!B24:D24,DistanceFactorCoreDrive,DistancesTripTypes)</f>
        <v>1987</v>
      </c>
      <c r="D6" s="100">
        <f>C6*'Input Cost'!B19</f>
        <v>238.44</v>
      </c>
      <c r="E6" s="101">
        <f>ROUNDUP((SUMPRODUCT(Constraints!B24:D24,Constraints!B12:D12))/Constraints!B6,0)</f>
        <v>13</v>
      </c>
      <c r="F6" s="101">
        <f>ROUNDUP((C6/Constraints!B3),0)</f>
        <v>17</v>
      </c>
      <c r="G6" s="87">
        <f>Solver!$D$26</f>
        <v>13</v>
      </c>
      <c r="H6" s="102">
        <f>Solver!$D$27</f>
        <v>0</v>
      </c>
      <c r="I6" s="100">
        <f>MAX(E6:H6)</f>
        <v>17</v>
      </c>
      <c r="J6" s="100">
        <f>I6</f>
        <v>17</v>
      </c>
      <c r="K6" s="103">
        <f>I6*'Input Cost'!D6</f>
        <v>1003.4818508333333</v>
      </c>
      <c r="L6" s="103">
        <f>D6+K6</f>
        <v>1241.9218508333333</v>
      </c>
      <c r="M6" s="103">
        <f>L6*'Cost Savings Opportunity'!$B$2</f>
        <v>310480.46270833333</v>
      </c>
    </row>
    <row r="7" spans="1:13" x14ac:dyDescent="0.3">
      <c r="A7" s="117">
        <v>1</v>
      </c>
      <c r="B7" s="99" t="str">
        <f>'Input Cost'!A20</f>
        <v>Outsourced</v>
      </c>
      <c r="C7" s="99">
        <f>SUMPRODUCT(Constraints!B24:D24,DistanceFactorOutsourced,DistancesTripTypes)</f>
        <v>1987</v>
      </c>
      <c r="D7" s="100">
        <f>C7*'Input Cost'!B20</f>
        <v>0</v>
      </c>
      <c r="E7" s="101">
        <f>ROUNDUP((SUMPRODUCT(Constraints!B24:D24,Constraints!B13:D13))/Constraints!C6,0)</f>
        <v>13</v>
      </c>
      <c r="F7" s="101">
        <f>ROUNDUP((C7/Constraints!C3),0)</f>
        <v>17</v>
      </c>
      <c r="G7" s="87">
        <f>Solver!$D$26</f>
        <v>13</v>
      </c>
      <c r="H7" s="102">
        <f>Solver!$D$27</f>
        <v>0</v>
      </c>
      <c r="I7" s="100">
        <f>MAX(E7:H7)</f>
        <v>17</v>
      </c>
      <c r="J7" s="100">
        <v>0</v>
      </c>
      <c r="K7" s="103">
        <f>I7*'Input Cost'!D7</f>
        <v>680</v>
      </c>
      <c r="L7" s="103">
        <f>D7+K7</f>
        <v>680</v>
      </c>
      <c r="M7" s="103">
        <f>L7*'Cost Savings Opportunity'!$B$2</f>
        <v>170000</v>
      </c>
    </row>
    <row r="8" spans="1:13" ht="15" thickBot="1" x14ac:dyDescent="0.35">
      <c r="A8" s="118">
        <v>1</v>
      </c>
      <c r="B8" s="104" t="str">
        <f>'Input Cost'!A21</f>
        <v xml:space="preserve">Taxi </v>
      </c>
      <c r="C8" s="104">
        <f>SUMPRODUCT(Constraints!B24:D24,DistanceFactorTaxi,DistancesTripTypes)</f>
        <v>1614</v>
      </c>
      <c r="D8" s="105">
        <f>((C8-'Input Cost'!F21*'Input Demand'!D5)*'Input Cost'!B21+'Input Cost'!D21*'Input Demand'!D5)*(1-'Input Cost'!H21/100)</f>
        <v>842.51999999999987</v>
      </c>
      <c r="E8" s="106" t="s">
        <v>41</v>
      </c>
      <c r="F8" s="106" t="s">
        <v>41</v>
      </c>
      <c r="G8" s="106" t="s">
        <v>41</v>
      </c>
      <c r="H8" s="107" t="s">
        <v>41</v>
      </c>
      <c r="I8" s="105" t="s">
        <v>41</v>
      </c>
      <c r="J8" s="105" t="s">
        <v>41</v>
      </c>
      <c r="K8" s="108">
        <v>0</v>
      </c>
      <c r="L8" s="108">
        <f>D8+K8</f>
        <v>842.51999999999987</v>
      </c>
      <c r="M8" s="108">
        <f>L8*'Cost Savings Opportunity'!$B$2</f>
        <v>210629.99999999997</v>
      </c>
    </row>
    <row r="9" spans="1:13" ht="15" thickBot="1" x14ac:dyDescent="0.35">
      <c r="A9" s="109"/>
      <c r="B9" s="109" t="s">
        <v>101</v>
      </c>
      <c r="C9" s="104"/>
      <c r="D9" s="105"/>
      <c r="E9" s="106"/>
      <c r="F9" s="106"/>
      <c r="G9" s="106"/>
      <c r="H9" s="90"/>
      <c r="I9" s="110">
        <f>'Cost Savings Opportunity'!B17</f>
        <v>57</v>
      </c>
      <c r="J9" s="111">
        <f>'Cost Savings Opportunity'!B16</f>
        <v>20</v>
      </c>
      <c r="K9" s="108"/>
      <c r="L9" s="108">
        <f>SUM('Cost Savings Opportunity'!B6:B14)/'Cost Savings Opportunity'!B4</f>
        <v>2025.9991999999984</v>
      </c>
      <c r="M9" s="108">
        <f>L9*'Cost Savings Opportunity'!$B$2</f>
        <v>506499.79999999958</v>
      </c>
    </row>
    <row r="10" spans="1:13" ht="15" thickBot="1" x14ac:dyDescent="0.35">
      <c r="A10" s="80"/>
      <c r="B10" s="80" t="s">
        <v>78</v>
      </c>
      <c r="C10" s="112">
        <f>SUM(Solver!E18:E20)</f>
        <v>1851</v>
      </c>
      <c r="D10" s="113">
        <f>Solver!B8</f>
        <v>165.24</v>
      </c>
      <c r="E10" s="114"/>
      <c r="F10" s="114"/>
      <c r="G10" s="114"/>
      <c r="H10" s="114"/>
      <c r="I10" s="96">
        <f>Solver!B14</f>
        <v>0</v>
      </c>
      <c r="J10" s="113">
        <f>Solver!B14</f>
        <v>0</v>
      </c>
      <c r="K10" s="115">
        <f>Solver!B5</f>
        <v>520</v>
      </c>
      <c r="L10" s="116">
        <f t="shared" ref="L10" si="0">D10+K10</f>
        <v>685.24</v>
      </c>
      <c r="M10" s="116">
        <f>L10*'Cost Savings Opportunity'!$B$2</f>
        <v>171310</v>
      </c>
    </row>
  </sheetData>
  <autoFilter ref="B4:L10">
    <filterColumn colId="3" showButton="0"/>
    <filterColumn colId="4" showButton="0"/>
    <filterColumn colId="5" showButton="0"/>
  </autoFilter>
  <mergeCells count="1">
    <mergeCell ref="E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Input Demand</vt:lpstr>
      <vt:lpstr>Input Cost</vt:lpstr>
      <vt:lpstr>Constraints</vt:lpstr>
      <vt:lpstr>Solver</vt:lpstr>
      <vt:lpstr>Dashboard</vt:lpstr>
      <vt:lpstr>Cost Savings Opportunity</vt:lpstr>
      <vt:lpstr>Triangle Analysis</vt:lpstr>
      <vt:lpstr>DistanceFactorCoreDrive</vt:lpstr>
      <vt:lpstr>DistanceFactorOutsourced</vt:lpstr>
      <vt:lpstr>DistanceFactorTaxi</vt:lpstr>
      <vt:lpstr>DistancesTripTypes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Schaumann</dc:creator>
  <cp:lastModifiedBy>Schaumann  Sarah</cp:lastModifiedBy>
  <dcterms:created xsi:type="dcterms:W3CDTF">2021-09-13T06:50:31Z</dcterms:created>
  <dcterms:modified xsi:type="dcterms:W3CDTF">2022-01-28T11:06:25Z</dcterms:modified>
</cp:coreProperties>
</file>